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y-shiroki\Desktop\一時的な置き場\"/>
    </mc:Choice>
  </mc:AlternateContent>
  <xr:revisionPtr revIDLastSave="0" documentId="13_ncr:1_{192AA0BB-D122-4DA8-A467-055075768A44}" xr6:coauthVersionLast="47" xr6:coauthVersionMax="47" xr10:uidLastSave="{00000000-0000-0000-0000-000000000000}"/>
  <workbookProtection workbookAlgorithmName="SHA-512" workbookHashValue="fPB0N92goY3SmWUF6wPV0qcutGUsT1qZqG5LWHpAFGImuVCvrbUMOckDUnU61sutdxO/Ivwk0sbWk6tNeTVxNA==" workbookSaltValue="eEy+OgO+TFObP1f5KipAMg==" workbookSpinCount="100000" lockStructure="1"/>
  <bookViews>
    <workbookView xWindow="9735" yWindow="780" windowWidth="19065" windowHeight="13650" tabRatio="846" xr2:uid="{00000000-000D-0000-FFFF-FFFF00000000}"/>
  </bookViews>
  <sheets>
    <sheet name="データ入力シート" sheetId="7" r:id="rId1"/>
    <sheet name="概算結果" sheetId="33" r:id="rId2"/>
    <sheet name="⇒計算シート" sheetId="14" state="hidden" r:id="rId3"/>
    <sheet name="会社判定" sheetId="11" state="hidden" r:id="rId4"/>
    <sheet name="評価額" sheetId="1" state="hidden" r:id="rId5"/>
    <sheet name="医贈与税" sheetId="30" state="hidden" r:id="rId6"/>
    <sheet name="⇒要更新" sheetId="27" state="hidden" r:id="rId7"/>
    <sheet name="基礎データ" sheetId="6" state="hidden" r:id="rId8"/>
  </sheets>
  <definedNames>
    <definedName name="_xlnm.Print_Area" localSheetId="0">データ入力シート!$A$1:$H$71</definedName>
    <definedName name="_xlnm.Print_Area" localSheetId="1">概算結果!$A$1:$M$71</definedName>
    <definedName name="_xlnm.Print_Area" localSheetId="7">基礎データ!$A$1:$Q$38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33" l="1"/>
  <c r="I5" i="6"/>
  <c r="M13" i="6" s="1"/>
  <c r="D58" i="7" l="1"/>
  <c r="N13" i="6"/>
  <c r="N12" i="6"/>
  <c r="N11" i="6"/>
  <c r="P9" i="30"/>
  <c r="O9" i="30"/>
  <c r="O8" i="30"/>
  <c r="O7" i="30"/>
  <c r="O6" i="30"/>
  <c r="O5" i="30"/>
  <c r="O4" i="30"/>
  <c r="D8" i="30"/>
  <c r="H8" i="30" s="1"/>
  <c r="D7" i="30"/>
  <c r="E7" i="30" s="1"/>
  <c r="D6" i="30"/>
  <c r="E6" i="30" s="1"/>
  <c r="D5" i="30"/>
  <c r="E5" i="30" s="1"/>
  <c r="D4" i="30"/>
  <c r="E4" i="30" s="1"/>
  <c r="D5" i="11"/>
  <c r="D18" i="11" s="1"/>
  <c r="C8" i="30"/>
  <c r="P8" i="30" s="1"/>
  <c r="C7" i="30"/>
  <c r="P7" i="30" s="1"/>
  <c r="C6" i="30"/>
  <c r="P6" i="30" s="1"/>
  <c r="C5" i="30"/>
  <c r="P5" i="30" s="1"/>
  <c r="C4" i="30"/>
  <c r="P4" i="30" s="1"/>
  <c r="C13" i="1"/>
  <c r="G9" i="1"/>
  <c r="E9" i="1"/>
  <c r="C9" i="1"/>
  <c r="E5" i="11"/>
  <c r="D70" i="7"/>
  <c r="Q6" i="30" l="1"/>
  <c r="E8" i="30"/>
  <c r="H4" i="30"/>
  <c r="Q7" i="30"/>
  <c r="H6" i="30"/>
  <c r="Q8" i="30"/>
  <c r="H7" i="30"/>
  <c r="Q4" i="30"/>
  <c r="H5" i="30"/>
  <c r="Q5" i="30"/>
  <c r="D13" i="11"/>
  <c r="D12" i="11"/>
  <c r="F18" i="11" l="1"/>
  <c r="F8" i="30"/>
  <c r="F12" i="11" l="1"/>
  <c r="F13" i="11"/>
  <c r="F7" i="30"/>
  <c r="F6" i="30"/>
  <c r="G6" i="30" s="1"/>
  <c r="G8" i="30"/>
  <c r="I8" i="30" l="1"/>
  <c r="R8" i="30"/>
  <c r="I6" i="30"/>
  <c r="R6" i="30"/>
  <c r="D15" i="11"/>
  <c r="F15" i="11" s="1"/>
  <c r="D24" i="11" s="1"/>
  <c r="G7" i="30"/>
  <c r="I7" i="30" l="1"/>
  <c r="J7" i="30" s="1"/>
  <c r="R7" i="30"/>
  <c r="K8" i="30"/>
  <c r="J8" i="30"/>
  <c r="K6" i="30"/>
  <c r="J6" i="30"/>
  <c r="K7" i="30" l="1"/>
  <c r="L7" i="30" s="1"/>
  <c r="L6" i="30"/>
  <c r="L8" i="30"/>
  <c r="D9" i="30" l="1"/>
  <c r="Q9" i="30" s="1"/>
  <c r="E9" i="30" l="1"/>
  <c r="C20" i="1"/>
  <c r="G20" i="1"/>
  <c r="C24" i="11" l="1"/>
  <c r="E20" i="1"/>
  <c r="E24" i="11"/>
  <c r="N4" i="6" s="1"/>
  <c r="C18" i="11"/>
  <c r="C12" i="11"/>
  <c r="C13" i="11"/>
  <c r="C15" i="11"/>
  <c r="C17" i="11"/>
  <c r="C11" i="11"/>
  <c r="N6" i="6"/>
  <c r="N7" i="6" l="1"/>
  <c r="J4" i="11" l="1"/>
  <c r="E8" i="1"/>
  <c r="K5" i="11"/>
  <c r="G8" i="1"/>
  <c r="K4" i="11"/>
  <c r="J5" i="11"/>
  <c r="L5" i="11" l="1"/>
  <c r="M4" i="11" a="1"/>
  <c r="M4" i="11" s="1"/>
  <c r="L4" i="11"/>
  <c r="K20" i="1"/>
  <c r="M20" i="1" s="1"/>
  <c r="N14" i="6" l="1"/>
  <c r="L11" i="11" a="1"/>
  <c r="L11" i="11" s="1"/>
  <c r="N5" i="6" s="1"/>
  <c r="C11" i="6" s="1"/>
  <c r="E39" i="1" s="1"/>
  <c r="G39" i="1" l="1"/>
  <c r="I9" i="1"/>
  <c r="K37" i="1"/>
  <c r="I39" i="1" l="1"/>
  <c r="C37" i="1"/>
  <c r="G37" i="1"/>
  <c r="F37" i="1"/>
  <c r="F39" i="1" s="1"/>
  <c r="D37" i="1"/>
  <c r="D39" i="1" s="1"/>
  <c r="I37" i="1"/>
  <c r="J37" i="1"/>
  <c r="J39" i="1" s="1"/>
  <c r="E37" i="1"/>
  <c r="I32" i="1" a="1"/>
  <c r="I32" i="1" s="1"/>
  <c r="M9" i="1"/>
  <c r="C39" i="1" l="1"/>
  <c r="K39" i="1" s="1"/>
  <c r="H32" i="1" s="1" a="1"/>
  <c r="H32" i="1" s="1"/>
  <c r="H37" i="1"/>
  <c r="H39" i="1" s="1"/>
  <c r="N10" i="6"/>
  <c r="N15" i="6" l="1"/>
  <c r="F5" i="30" s="1"/>
  <c r="G5" i="30" s="1"/>
  <c r="I5" i="30" l="1"/>
  <c r="R5" i="30"/>
  <c r="F4" i="30"/>
  <c r="N8" i="6"/>
  <c r="K5" i="30" l="1"/>
  <c r="J5" i="30"/>
  <c r="G4" i="30"/>
  <c r="L5" i="30" l="1"/>
  <c r="I4" i="30"/>
  <c r="K4" i="30" s="1"/>
  <c r="R4" i="30"/>
  <c r="G9" i="30"/>
  <c r="R9" i="30" s="1"/>
  <c r="I9" i="30" l="1"/>
  <c r="J4" i="30"/>
  <c r="L4" i="30" s="1"/>
  <c r="K9" i="30"/>
  <c r="L9" i="30" l="1"/>
  <c r="N9" i="6" l="1"/>
  <c r="P3"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<sst xmlns="http://schemas.openxmlformats.org/spreadsheetml/2006/main" count="341" uniqueCount="251">
  <si>
    <t>純資産</t>
    <rPh sb="0" eb="3">
      <t>ジュンシサン</t>
    </rPh>
    <phoneticPr fontId="2"/>
  </si>
  <si>
    <t>×</t>
    <phoneticPr fontId="2"/>
  </si>
  <si>
    <t>＋</t>
    <phoneticPr fontId="2"/>
  </si>
  <si>
    <t>＝</t>
    <phoneticPr fontId="2"/>
  </si>
  <si>
    <t>大会社</t>
    <rPh sb="0" eb="3">
      <t>ダイガイシャ</t>
    </rPh>
    <phoneticPr fontId="2"/>
  </si>
  <si>
    <t>斟酌率</t>
    <rPh sb="0" eb="2">
      <t>シンシャク</t>
    </rPh>
    <rPh sb="2" eb="3">
      <t>リツ</t>
    </rPh>
    <phoneticPr fontId="2"/>
  </si>
  <si>
    <t>小会社</t>
    <rPh sb="0" eb="3">
      <t>ショウガイシャ</t>
    </rPh>
    <phoneticPr fontId="2"/>
  </si>
  <si>
    <t>類似業種比準価格
（Ｌ）</t>
    <rPh sb="0" eb="2">
      <t>ルイジ</t>
    </rPh>
    <rPh sb="2" eb="4">
      <t>ギョウシュ</t>
    </rPh>
    <rPh sb="4" eb="6">
      <t>ヒジュン</t>
    </rPh>
    <rPh sb="6" eb="8">
      <t>カカク</t>
    </rPh>
    <phoneticPr fontId="2"/>
  </si>
  <si>
    <t>－</t>
    <phoneticPr fontId="2"/>
  </si>
  <si>
    <t>中会社の大</t>
    <rPh sb="0" eb="1">
      <t>チュウ</t>
    </rPh>
    <rPh sb="1" eb="3">
      <t>カイシャ</t>
    </rPh>
    <rPh sb="4" eb="5">
      <t>ダイ</t>
    </rPh>
    <phoneticPr fontId="2"/>
  </si>
  <si>
    <t>中会社の中</t>
    <rPh sb="0" eb="1">
      <t>チュウ</t>
    </rPh>
    <rPh sb="1" eb="3">
      <t>カイシャ</t>
    </rPh>
    <rPh sb="4" eb="5">
      <t>チュウ</t>
    </rPh>
    <phoneticPr fontId="2"/>
  </si>
  <si>
    <t>中会社の小</t>
    <rPh sb="0" eb="1">
      <t>チュウ</t>
    </rPh>
    <rPh sb="1" eb="3">
      <t>カイシャ</t>
    </rPh>
    <rPh sb="4" eb="5">
      <t>ショウ</t>
    </rPh>
    <phoneticPr fontId="2"/>
  </si>
  <si>
    <t>会社規模</t>
    <rPh sb="0" eb="2">
      <t>カイシャ</t>
    </rPh>
    <rPh sb="2" eb="4">
      <t>キボ</t>
    </rPh>
    <phoneticPr fontId="2"/>
  </si>
  <si>
    <t>大小</t>
    <rPh sb="0" eb="2">
      <t>ダイショウ</t>
    </rPh>
    <phoneticPr fontId="2"/>
  </si>
  <si>
    <t>従業員基準</t>
    <rPh sb="0" eb="3">
      <t>ジュウギョウイン</t>
    </rPh>
    <rPh sb="3" eb="5">
      <t>キジュン</t>
    </rPh>
    <phoneticPr fontId="2"/>
  </si>
  <si>
    <t>70人未満</t>
    <rPh sb="2" eb="3">
      <t>ニン</t>
    </rPh>
    <rPh sb="3" eb="5">
      <t>ミマン</t>
    </rPh>
    <phoneticPr fontId="2"/>
  </si>
  <si>
    <t>70人以上</t>
    <rPh sb="2" eb="3">
      <t>ニン</t>
    </rPh>
    <rPh sb="3" eb="5">
      <t>イジョウ</t>
    </rPh>
    <phoneticPr fontId="2"/>
  </si>
  <si>
    <t>出資金額</t>
    <rPh sb="0" eb="2">
      <t>シュッシ</t>
    </rPh>
    <rPh sb="2" eb="4">
      <t>キンガク</t>
    </rPh>
    <phoneticPr fontId="2"/>
  </si>
  <si>
    <t>氏名</t>
    <rPh sb="0" eb="2">
      <t>シメイ</t>
    </rPh>
    <phoneticPr fontId="2"/>
  </si>
  <si>
    <t>出資口数</t>
    <rPh sb="0" eb="2">
      <t>シュッシ</t>
    </rPh>
    <rPh sb="2" eb="3">
      <t>クチ</t>
    </rPh>
    <rPh sb="3" eb="4">
      <t>スウ</t>
    </rPh>
    <phoneticPr fontId="2"/>
  </si>
  <si>
    <t>合計</t>
    <rPh sb="0" eb="2">
      <t>ゴウケイ</t>
    </rPh>
    <phoneticPr fontId="2"/>
  </si>
  <si>
    <t>1口あたりの評価額</t>
    <rPh sb="1" eb="2">
      <t>クチ</t>
    </rPh>
    <rPh sb="6" eb="9">
      <t>ヒョウカガク</t>
    </rPh>
    <phoneticPr fontId="2"/>
  </si>
  <si>
    <t>50円</t>
    <rPh sb="2" eb="3">
      <t>エン</t>
    </rPh>
    <phoneticPr fontId="2"/>
  </si>
  <si>
    <t>1口あたりの資本金等の額</t>
    <rPh sb="1" eb="2">
      <t>クチ</t>
    </rPh>
    <rPh sb="6" eb="9">
      <t>シホンキン</t>
    </rPh>
    <rPh sb="9" eb="10">
      <t>トウ</t>
    </rPh>
    <rPh sb="11" eb="12">
      <t>ガク</t>
    </rPh>
    <phoneticPr fontId="2"/>
  </si>
  <si>
    <t>－</t>
    <phoneticPr fontId="2"/>
  </si>
  <si>
    <t>（相続税評価純資産</t>
    <rPh sb="1" eb="4">
      <t>ソウゾクゼイ</t>
    </rPh>
    <rPh sb="4" eb="6">
      <t>ヒョウカ</t>
    </rPh>
    <rPh sb="6" eb="9">
      <t>ジュンシサン</t>
    </rPh>
    <phoneticPr fontId="2"/>
  </si>
  <si>
    <t>帳簿価格純資産）</t>
    <phoneticPr fontId="2"/>
  </si>
  <si>
    <t>÷</t>
    <phoneticPr fontId="2"/>
  </si>
  <si>
    <t>№</t>
    <phoneticPr fontId="2"/>
  </si>
  <si>
    <t>出資持分評価額</t>
    <rPh sb="0" eb="2">
      <t>シュッシ</t>
    </rPh>
    <rPh sb="2" eb="3">
      <t>モ</t>
    </rPh>
    <rPh sb="3" eb="4">
      <t>ブン</t>
    </rPh>
    <rPh sb="4" eb="7">
      <t>ヒョウカガク</t>
    </rPh>
    <phoneticPr fontId="2"/>
  </si>
  <si>
    <t>データ</t>
    <phoneticPr fontId="2"/>
  </si>
  <si>
    <t>税率</t>
    <rPh sb="0" eb="2">
      <t>ゼイリツ</t>
    </rPh>
    <phoneticPr fontId="2"/>
  </si>
  <si>
    <t>控除額</t>
    <rPh sb="0" eb="3">
      <t>コウジョガク</t>
    </rPh>
    <phoneticPr fontId="2"/>
  </si>
  <si>
    <t>基礎控除後の金額</t>
    <rPh sb="0" eb="2">
      <t>キソ</t>
    </rPh>
    <rPh sb="2" eb="4">
      <t>コウジョ</t>
    </rPh>
    <rPh sb="4" eb="5">
      <t>ゴ</t>
    </rPh>
    <rPh sb="6" eb="8">
      <t>キンガク</t>
    </rPh>
    <phoneticPr fontId="2"/>
  </si>
  <si>
    <t>基礎控除額</t>
    <rPh sb="0" eb="2">
      <t>キソ</t>
    </rPh>
    <rPh sb="2" eb="5">
      <t>コウジョガク</t>
    </rPh>
    <phoneticPr fontId="2"/>
  </si>
  <si>
    <t>①直前期</t>
    <rPh sb="1" eb="3">
      <t>チョクゼン</t>
    </rPh>
    <rPh sb="3" eb="4">
      <t>キ</t>
    </rPh>
    <phoneticPr fontId="2"/>
  </si>
  <si>
    <t>配当</t>
    <rPh sb="0" eb="2">
      <t>ハイトウ</t>
    </rPh>
    <phoneticPr fontId="2"/>
  </si>
  <si>
    <t>利益</t>
    <rPh sb="0" eb="2">
      <t>リエキ</t>
    </rPh>
    <phoneticPr fontId="2"/>
  </si>
  <si>
    <t>②直前々期</t>
    <rPh sb="1" eb="3">
      <t>チョクゼン</t>
    </rPh>
    <rPh sb="4" eb="5">
      <t>キ</t>
    </rPh>
    <phoneticPr fontId="2"/>
  </si>
  <si>
    <t>直前期</t>
    <rPh sb="0" eb="2">
      <t>チョクゼン</t>
    </rPh>
    <rPh sb="2" eb="3">
      <t>キ</t>
    </rPh>
    <phoneticPr fontId="2"/>
  </si>
  <si>
    <t>直前々期</t>
    <rPh sb="0" eb="2">
      <t>チョクゼン</t>
    </rPh>
    <rPh sb="3" eb="4">
      <t>キ</t>
    </rPh>
    <phoneticPr fontId="2"/>
  </si>
  <si>
    <t>直前々々期</t>
    <rPh sb="0" eb="2">
      <t>チョクゼン</t>
    </rPh>
    <rPh sb="4" eb="5">
      <t>キ</t>
    </rPh>
    <phoneticPr fontId="2"/>
  </si>
  <si>
    <t>比準要素0の判定</t>
    <rPh sb="0" eb="4">
      <t>ヒジュンヨウソ</t>
    </rPh>
    <rPh sb="6" eb="8">
      <t>ハンテイ</t>
    </rPh>
    <phoneticPr fontId="2"/>
  </si>
  <si>
    <t>比準要素0</t>
    <rPh sb="0" eb="2">
      <t>ヒジュン</t>
    </rPh>
    <rPh sb="2" eb="4">
      <t>ヨウソ</t>
    </rPh>
    <phoneticPr fontId="2"/>
  </si>
  <si>
    <t>比準要素1</t>
    <rPh sb="0" eb="2">
      <t>ヒジュン</t>
    </rPh>
    <rPh sb="2" eb="4">
      <t>ヨウソ</t>
    </rPh>
    <phoneticPr fontId="2"/>
  </si>
  <si>
    <t>評価会社の1口あたりの利益</t>
    <rPh sb="0" eb="2">
      <t>ヒョウカ</t>
    </rPh>
    <rPh sb="2" eb="4">
      <t>ガイシャ</t>
    </rPh>
    <rPh sb="6" eb="7">
      <t>クチ</t>
    </rPh>
    <rPh sb="11" eb="13">
      <t>リエキ</t>
    </rPh>
    <phoneticPr fontId="2"/>
  </si>
  <si>
    <t>評価会社の1口あたりの純資産</t>
    <rPh sb="0" eb="2">
      <t>ヒョウカ</t>
    </rPh>
    <rPh sb="2" eb="4">
      <t>ガイシャ</t>
    </rPh>
    <rPh sb="6" eb="7">
      <t>クチ</t>
    </rPh>
    <rPh sb="11" eb="14">
      <t>ジュンシサン</t>
    </rPh>
    <phoneticPr fontId="2"/>
  </si>
  <si>
    <t>類似業種の1口あたりの利益</t>
    <rPh sb="0" eb="2">
      <t>ルイジ</t>
    </rPh>
    <rPh sb="2" eb="4">
      <t>ギョウシュ</t>
    </rPh>
    <rPh sb="6" eb="7">
      <t>クチ</t>
    </rPh>
    <rPh sb="11" eb="13">
      <t>リエキ</t>
    </rPh>
    <phoneticPr fontId="2"/>
  </si>
  <si>
    <t>類似業種の1口あたりの利益純資産</t>
    <rPh sb="0" eb="2">
      <t>ルイジ</t>
    </rPh>
    <rPh sb="2" eb="4">
      <t>ギョウシュ</t>
    </rPh>
    <rPh sb="6" eb="7">
      <t>クチ</t>
    </rPh>
    <rPh sb="11" eb="13">
      <t>リエキ</t>
    </rPh>
    <rPh sb="13" eb="16">
      <t>ジュンシサン</t>
    </rPh>
    <phoneticPr fontId="2"/>
  </si>
  <si>
    <t>類似業種の株価</t>
    <rPh sb="0" eb="2">
      <t>ルイジ</t>
    </rPh>
    <rPh sb="2" eb="4">
      <t>ギョウシュ</t>
    </rPh>
    <rPh sb="5" eb="6">
      <t>カブ</t>
    </rPh>
    <rPh sb="6" eb="7">
      <t>カ</t>
    </rPh>
    <phoneticPr fontId="2"/>
  </si>
  <si>
    <t>1口あたりの類似業種比準価額</t>
    <rPh sb="1" eb="2">
      <t>クチ</t>
    </rPh>
    <rPh sb="6" eb="8">
      <t>ルイジ</t>
    </rPh>
    <rPh sb="8" eb="10">
      <t>ギョウシュ</t>
    </rPh>
    <rPh sb="10" eb="12">
      <t>ヒジュン</t>
    </rPh>
    <rPh sb="12" eb="14">
      <t>カガク</t>
    </rPh>
    <phoneticPr fontId="2"/>
  </si>
  <si>
    <t>1口あたりの純資産価額</t>
    <rPh sb="1" eb="2">
      <t>クチ</t>
    </rPh>
    <rPh sb="6" eb="9">
      <t>ジュンシサン</t>
    </rPh>
    <rPh sb="9" eb="11">
      <t>カガク</t>
    </rPh>
    <phoneticPr fontId="2"/>
  </si>
  <si>
    <t>出資持分総口数</t>
    <rPh sb="0" eb="2">
      <t>シュッシ</t>
    </rPh>
    <rPh sb="2" eb="3">
      <t>モ</t>
    </rPh>
    <rPh sb="3" eb="4">
      <t>ブン</t>
    </rPh>
    <rPh sb="4" eb="5">
      <t>ソウ</t>
    </rPh>
    <rPh sb="5" eb="7">
      <t>クチカズ</t>
    </rPh>
    <phoneticPr fontId="2"/>
  </si>
  <si>
    <t>純資産価格（相続税評価額）</t>
    <rPh sb="0" eb="3">
      <t>ジュンシサン</t>
    </rPh>
    <rPh sb="3" eb="5">
      <t>カカク</t>
    </rPh>
    <phoneticPr fontId="2"/>
  </si>
  <si>
    <t>C
利益金額</t>
    <phoneticPr fontId="2"/>
  </si>
  <si>
    <t>■類似業種比準価額方式の計算</t>
    <rPh sb="1" eb="3">
      <t>ルイジ</t>
    </rPh>
    <rPh sb="3" eb="5">
      <t>ギョウシュ</t>
    </rPh>
    <rPh sb="5" eb="7">
      <t>ヒジュン</t>
    </rPh>
    <rPh sb="7" eb="9">
      <t>カガク</t>
    </rPh>
    <rPh sb="9" eb="11">
      <t>ホウシキ</t>
    </rPh>
    <rPh sb="12" eb="14">
      <t>ケイサン</t>
    </rPh>
    <phoneticPr fontId="2"/>
  </si>
  <si>
    <t>■純資産価額方式の計算</t>
    <rPh sb="1" eb="4">
      <t>ジュンシサン</t>
    </rPh>
    <rPh sb="4" eb="6">
      <t>カガク</t>
    </rPh>
    <rPh sb="6" eb="8">
      <t>ホウシキ</t>
    </rPh>
    <rPh sb="9" eb="11">
      <t>ケイサン</t>
    </rPh>
    <phoneticPr fontId="2"/>
  </si>
  <si>
    <t>●折衷方法の計算</t>
    <rPh sb="1" eb="3">
      <t>セッチュウ</t>
    </rPh>
    <rPh sb="3" eb="5">
      <t>ホウホウ</t>
    </rPh>
    <rPh sb="6" eb="8">
      <t>ケイサン</t>
    </rPh>
    <phoneticPr fontId="2"/>
  </si>
  <si>
    <t>●評価方式</t>
    <rPh sb="1" eb="3">
      <t>ヒョウカ</t>
    </rPh>
    <rPh sb="3" eb="5">
      <t>ホウシキ</t>
    </rPh>
    <phoneticPr fontId="2"/>
  </si>
  <si>
    <t>●取引高基準</t>
    <rPh sb="1" eb="4">
      <t>トリヒキダカ</t>
    </rPh>
    <rPh sb="4" eb="6">
      <t>キジュン</t>
    </rPh>
    <phoneticPr fontId="2"/>
  </si>
  <si>
    <t>●斟酌率</t>
    <rPh sb="1" eb="3">
      <t>シンシャク</t>
    </rPh>
    <rPh sb="3" eb="4">
      <t>リツ</t>
    </rPh>
    <phoneticPr fontId="2"/>
  </si>
  <si>
    <t>●会社の大小判定</t>
    <rPh sb="1" eb="3">
      <t>カイシャ</t>
    </rPh>
    <rPh sb="4" eb="6">
      <t>ダイショウ</t>
    </rPh>
    <rPh sb="6" eb="8">
      <t>ハンテイ</t>
    </rPh>
    <phoneticPr fontId="2"/>
  </si>
  <si>
    <t>●贈与税率等</t>
    <rPh sb="1" eb="4">
      <t>ゾウヨゼイ</t>
    </rPh>
    <phoneticPr fontId="2"/>
  </si>
  <si>
    <t>●純資産基準</t>
    <rPh sb="1" eb="4">
      <t>ジュンシサン</t>
    </rPh>
    <rPh sb="4" eb="6">
      <t>キジュン</t>
    </rPh>
    <phoneticPr fontId="2"/>
  </si>
  <si>
    <t>●従業員基準</t>
    <rPh sb="1" eb="4">
      <t>ジュウギョウイン</t>
    </rPh>
    <rPh sb="4" eb="6">
      <t>キジュン</t>
    </rPh>
    <phoneticPr fontId="2"/>
  </si>
  <si>
    <t>抜粋</t>
    <rPh sb="0" eb="2">
      <t>バッスイ</t>
    </rPh>
    <phoneticPr fontId="2"/>
  </si>
  <si>
    <t>一口あたりの
評価額</t>
    <rPh sb="0" eb="2">
      <t>ヒトクチ</t>
    </rPh>
    <rPh sb="7" eb="10">
      <t>ヒョウカガク</t>
    </rPh>
    <phoneticPr fontId="2"/>
  </si>
  <si>
    <t>特定の評価会社の該当判定</t>
    <rPh sb="0" eb="2">
      <t>トクテイ</t>
    </rPh>
    <rPh sb="3" eb="5">
      <t>ヒョウカ</t>
    </rPh>
    <rPh sb="5" eb="7">
      <t>ガイシャ</t>
    </rPh>
    <rPh sb="8" eb="10">
      <t>ガイトウ</t>
    </rPh>
    <rPh sb="10" eb="12">
      <t>ハンテイ</t>
    </rPh>
    <phoneticPr fontId="2"/>
  </si>
  <si>
    <t>出資金額総額</t>
    <rPh sb="0" eb="2">
      <t>シュッシ</t>
    </rPh>
    <rPh sb="2" eb="4">
      <t>キンガク</t>
    </rPh>
    <rPh sb="4" eb="6">
      <t>ソウガク</t>
    </rPh>
    <phoneticPr fontId="2"/>
  </si>
  <si>
    <t>出資持分の相続税評価額</t>
    <rPh sb="0" eb="4">
      <t>シュッシモチブン</t>
    </rPh>
    <rPh sb="5" eb="7">
      <t>ソウゾク</t>
    </rPh>
    <rPh sb="7" eb="8">
      <t>ゼイ</t>
    </rPh>
    <rPh sb="8" eb="11">
      <t>ヒョウカガク</t>
    </rPh>
    <phoneticPr fontId="2"/>
  </si>
  <si>
    <t>　1口あたりの純資産価額方式による評価額</t>
    <rPh sb="2" eb="3">
      <t>クチ</t>
    </rPh>
    <rPh sb="7" eb="10">
      <t>ジュンシサン</t>
    </rPh>
    <rPh sb="10" eb="12">
      <t>カガク</t>
    </rPh>
    <rPh sb="12" eb="14">
      <t>ホウシキ</t>
    </rPh>
    <rPh sb="17" eb="20">
      <t>ヒョウカガク</t>
    </rPh>
    <phoneticPr fontId="2"/>
  </si>
  <si>
    <t>　1口あたりの評価額</t>
    <rPh sb="2" eb="3">
      <t>クチ</t>
    </rPh>
    <rPh sb="7" eb="10">
      <t>ヒョウカガク</t>
    </rPh>
    <phoneticPr fontId="2"/>
  </si>
  <si>
    <t>対象法人</t>
    <rPh sb="0" eb="2">
      <t>タイショウ</t>
    </rPh>
    <rPh sb="2" eb="4">
      <t>ホウジン</t>
    </rPh>
    <phoneticPr fontId="2"/>
  </si>
  <si>
    <t>令和</t>
    <rPh sb="0" eb="2">
      <t>レイワ</t>
    </rPh>
    <phoneticPr fontId="2"/>
  </si>
  <si>
    <t>比準要素1の判定</t>
    <rPh sb="0" eb="2">
      <t>ヒジュン</t>
    </rPh>
    <rPh sb="2" eb="3">
      <t>カナメ</t>
    </rPh>
    <rPh sb="5" eb="7">
      <t>ハンテイ</t>
    </rPh>
    <phoneticPr fontId="2"/>
  </si>
  <si>
    <t>会社判定⇒</t>
    <rPh sb="0" eb="2">
      <t>カイシャ</t>
    </rPh>
    <rPh sb="2" eb="4">
      <t>ハンテイ</t>
    </rPh>
    <phoneticPr fontId="2"/>
  </si>
  <si>
    <t>医療法人に対する
経済的利益の金額</t>
    <rPh sb="0" eb="2">
      <t>イリョウ</t>
    </rPh>
    <rPh sb="2" eb="4">
      <t>ホウジン</t>
    </rPh>
    <rPh sb="5" eb="6">
      <t>タイ</t>
    </rPh>
    <rPh sb="9" eb="12">
      <t>ケイザイテキ</t>
    </rPh>
    <rPh sb="12" eb="14">
      <t>リエキ</t>
    </rPh>
    <rPh sb="15" eb="17">
      <t>キンガク</t>
    </rPh>
    <phoneticPr fontId="2"/>
  </si>
  <si>
    <t>贈与税額
（その他の持分なし医療法人）</t>
    <rPh sb="0" eb="3">
      <t>ゾウヨゼイ</t>
    </rPh>
    <rPh sb="3" eb="4">
      <t>ガク</t>
    </rPh>
    <rPh sb="8" eb="9">
      <t>タ</t>
    </rPh>
    <rPh sb="10" eb="12">
      <t>モチブン</t>
    </rPh>
    <rPh sb="14" eb="18">
      <t>イリョウホウジン</t>
    </rPh>
    <phoneticPr fontId="2"/>
  </si>
  <si>
    <t>計</t>
    <rPh sb="0" eb="1">
      <t>ケイ</t>
    </rPh>
    <phoneticPr fontId="2"/>
  </si>
  <si>
    <t>表示</t>
    <rPh sb="0" eb="2">
      <t>ヒョウジ</t>
    </rPh>
    <phoneticPr fontId="2"/>
  </si>
  <si>
    <t>20～34人</t>
    <rPh sb="5" eb="6">
      <t>ニン</t>
    </rPh>
    <phoneticPr fontId="2"/>
  </si>
  <si>
    <t>35～69人</t>
    <rPh sb="5" eb="6">
      <t>ニン</t>
    </rPh>
    <phoneticPr fontId="2"/>
  </si>
  <si>
    <t>15億円以上</t>
    <rPh sb="2" eb="6">
      <t>オクエンイジョウ</t>
    </rPh>
    <phoneticPr fontId="2"/>
  </si>
  <si>
    <t>貸借対照表の「総資産」の金額</t>
    <rPh sb="0" eb="2">
      <t>タイシャク</t>
    </rPh>
    <rPh sb="2" eb="5">
      <t>タイショウヒョウ</t>
    </rPh>
    <rPh sb="7" eb="10">
      <t>ソウシサン</t>
    </rPh>
    <rPh sb="12" eb="14">
      <t>キンガク</t>
    </rPh>
    <phoneticPr fontId="2"/>
  </si>
  <si>
    <t>出資者名</t>
    <rPh sb="0" eb="3">
      <t>シュッシシャ</t>
    </rPh>
    <rPh sb="3" eb="4">
      <t>メイ</t>
    </rPh>
    <phoneticPr fontId="2"/>
  </si>
  <si>
    <t>←毎年6月の年1回の更新</t>
    <rPh sb="1" eb="3">
      <t>マイトシ</t>
    </rPh>
    <rPh sb="4" eb="5">
      <t>ガツ</t>
    </rPh>
    <rPh sb="6" eb="7">
      <t>ネン</t>
    </rPh>
    <rPh sb="8" eb="9">
      <t>カイ</t>
    </rPh>
    <rPh sb="10" eb="12">
      <t>コウシン</t>
    </rPh>
    <phoneticPr fontId="2"/>
  </si>
  <si>
    <t>　1口あたりの類似業種比準価額方式による評価額</t>
    <rPh sb="2" eb="3">
      <t>クチ</t>
    </rPh>
    <rPh sb="7" eb="9">
      <t>ルイジ</t>
    </rPh>
    <rPh sb="9" eb="11">
      <t>ギョウシュ</t>
    </rPh>
    <rPh sb="11" eb="13">
      <t>ヒジュン</t>
    </rPh>
    <rPh sb="13" eb="15">
      <t>カガク</t>
    </rPh>
    <rPh sb="15" eb="17">
      <t>ホウシキ</t>
    </rPh>
    <rPh sb="20" eb="23">
      <t>ヒョウカガク</t>
    </rPh>
    <phoneticPr fontId="2"/>
  </si>
  <si>
    <t>類似業種比準価額方式と同様に1口50円と仮定して計算しております。</t>
    <phoneticPr fontId="2"/>
  </si>
  <si>
    <t>総出資口数(1口50円と仮定)</t>
    <rPh sb="0" eb="1">
      <t>ソウ</t>
    </rPh>
    <rPh sb="1" eb="3">
      <t>シュッシ</t>
    </rPh>
    <rPh sb="3" eb="4">
      <t>クチ</t>
    </rPh>
    <rPh sb="4" eb="5">
      <t>スウ</t>
    </rPh>
    <rPh sb="7" eb="8">
      <t>クチ</t>
    </rPh>
    <rPh sb="10" eb="11">
      <t>エン</t>
    </rPh>
    <rPh sb="12" eb="14">
      <t>カテイ</t>
    </rPh>
    <phoneticPr fontId="2"/>
  </si>
  <si>
    <t>　　類似業種の利益</t>
    <rPh sb="2" eb="4">
      <t>ルイジ</t>
    </rPh>
    <rPh sb="4" eb="6">
      <t>ギョウシュ</t>
    </rPh>
    <rPh sb="7" eb="9">
      <t>リエキ</t>
    </rPh>
    <phoneticPr fontId="2"/>
  </si>
  <si>
    <t>　　類似業種の純資産</t>
    <rPh sb="2" eb="4">
      <t>ルイジ</t>
    </rPh>
    <rPh sb="4" eb="6">
      <t>ギョウシュ</t>
    </rPh>
    <rPh sb="7" eb="10">
      <t>ジュンシサン</t>
    </rPh>
    <phoneticPr fontId="2"/>
  </si>
  <si>
    <t>（参考）もっと正確な評価額を把握したい方（注２）</t>
    <rPh sb="1" eb="3">
      <t>サンコウ</t>
    </rPh>
    <rPh sb="7" eb="9">
      <t>セイカク</t>
    </rPh>
    <rPh sb="10" eb="13">
      <t>ヒョウカガク</t>
    </rPh>
    <rPh sb="14" eb="16">
      <t>ハアク</t>
    </rPh>
    <rPh sb="19" eb="20">
      <t>カタ</t>
    </rPh>
    <rPh sb="21" eb="22">
      <t>チュウ</t>
    </rPh>
    <phoneticPr fontId="2"/>
  </si>
  <si>
    <t>項　　目</t>
    <rPh sb="0" eb="1">
      <t>コウ</t>
    </rPh>
    <rPh sb="3" eb="4">
      <t>メ</t>
    </rPh>
    <phoneticPr fontId="2"/>
  </si>
  <si>
    <t>２．各出資者の出資持分評価額</t>
    <rPh sb="2" eb="3">
      <t>カク</t>
    </rPh>
    <rPh sb="3" eb="5">
      <t>シュッシ</t>
    </rPh>
    <rPh sb="5" eb="6">
      <t>シャ</t>
    </rPh>
    <rPh sb="7" eb="11">
      <t>シュッシモチブン</t>
    </rPh>
    <rPh sb="11" eb="14">
      <t>ヒョウカガク</t>
    </rPh>
    <phoneticPr fontId="2"/>
  </si>
  <si>
    <t>「損益計算書」の「税引前当期純利益」の金額</t>
    <rPh sb="9" eb="11">
      <t>ゼイビ</t>
    </rPh>
    <rPh sb="11" eb="12">
      <t>ゼン</t>
    </rPh>
    <rPh sb="12" eb="13">
      <t>トウ</t>
    </rPh>
    <rPh sb="13" eb="14">
      <t>キ</t>
    </rPh>
    <rPh sb="14" eb="17">
      <t>ジュンリエキ</t>
    </rPh>
    <phoneticPr fontId="2"/>
  </si>
  <si>
    <t>（参考）出資持分評価額を算定する上での各要素</t>
    <rPh sb="1" eb="3">
      <t>サンコウ</t>
    </rPh>
    <rPh sb="4" eb="8">
      <t>シュッシモチブン</t>
    </rPh>
    <rPh sb="8" eb="11">
      <t>ヒョウカガク</t>
    </rPh>
    <rPh sb="12" eb="14">
      <t>サンテイ</t>
    </rPh>
    <rPh sb="16" eb="17">
      <t>ウエ</t>
    </rPh>
    <rPh sb="19" eb="20">
      <t>カク</t>
    </rPh>
    <rPh sb="20" eb="22">
      <t>ヨウソ</t>
    </rPh>
    <phoneticPr fontId="2"/>
  </si>
  <si>
    <t>【参考】相続税額早見表</t>
    <rPh sb="1" eb="3">
      <t>サンコウ</t>
    </rPh>
    <rPh sb="4" eb="6">
      <t>ソウゾク</t>
    </rPh>
    <rPh sb="6" eb="8">
      <t>ゼイガク</t>
    </rPh>
    <rPh sb="8" eb="11">
      <t>ハヤミヒョウ</t>
    </rPh>
    <phoneticPr fontId="2"/>
  </si>
  <si>
    <t>　法定相続分に応じて財産を取得した場合に、以下の表より簡単に概算の相続税額を知ることができます。</t>
    <rPh sb="21" eb="23">
      <t>イカ</t>
    </rPh>
    <phoneticPr fontId="2"/>
  </si>
  <si>
    <t>■配偶者がいる場合</t>
    <rPh sb="1" eb="4">
      <t>ハイグウシャ</t>
    </rPh>
    <rPh sb="7" eb="9">
      <t>バアイ</t>
    </rPh>
    <phoneticPr fontId="2"/>
  </si>
  <si>
    <t>■配偶者がいない場合</t>
    <rPh sb="1" eb="4">
      <t>ハイグウシャ</t>
    </rPh>
    <rPh sb="8" eb="10">
      <t>バアイ</t>
    </rPh>
    <phoneticPr fontId="2"/>
  </si>
  <si>
    <t>課税価格</t>
    <rPh sb="0" eb="2">
      <t>カゼイ</t>
    </rPh>
    <rPh sb="2" eb="4">
      <t>カカク</t>
    </rPh>
    <phoneticPr fontId="2"/>
  </si>
  <si>
    <t>法定相続人</t>
  </si>
  <si>
    <t>配偶者＋子１人</t>
  </si>
  <si>
    <t>配偶者＋子２人</t>
  </si>
  <si>
    <t>配偶者＋子３人</t>
  </si>
  <si>
    <t>配偶者＋子４人</t>
  </si>
  <si>
    <t>子１人</t>
  </si>
  <si>
    <t>子２人</t>
  </si>
  <si>
    <t>子３人</t>
  </si>
  <si>
    <t>子４人</t>
  </si>
  <si>
    <t>5,000万円</t>
  </si>
  <si>
    <t>40万円</t>
  </si>
  <si>
    <t>10万円</t>
  </si>
  <si>
    <t>0万円</t>
  </si>
  <si>
    <t>160万円</t>
  </si>
  <si>
    <t>80万円</t>
  </si>
  <si>
    <t>19万円</t>
  </si>
  <si>
    <t>7,500万円</t>
  </si>
  <si>
    <t>197万円</t>
  </si>
  <si>
    <t>143万円</t>
  </si>
  <si>
    <t>106万円</t>
  </si>
  <si>
    <t>75万円</t>
  </si>
  <si>
    <t>580万円</t>
  </si>
  <si>
    <t>395万円</t>
  </si>
  <si>
    <t>270万円</t>
  </si>
  <si>
    <t>210万円</t>
  </si>
  <si>
    <t>1億円</t>
  </si>
  <si>
    <t>385万円</t>
  </si>
  <si>
    <t>315万円</t>
  </si>
  <si>
    <t>262万円</t>
  </si>
  <si>
    <t>225万円</t>
  </si>
  <si>
    <t>1,220万円</t>
  </si>
  <si>
    <t>770万円</t>
  </si>
  <si>
    <t>629万円</t>
  </si>
  <si>
    <t>490万円</t>
  </si>
  <si>
    <t>2,860万円</t>
  </si>
  <si>
    <t>2億円</t>
  </si>
  <si>
    <t>1,670万円</t>
  </si>
  <si>
    <t>1,350万円</t>
  </si>
  <si>
    <t>1,217万円</t>
  </si>
  <si>
    <t>1,125万円</t>
  </si>
  <si>
    <t>4,860万円</t>
  </si>
  <si>
    <t>3,340万円</t>
  </si>
  <si>
    <t>2,459万円</t>
  </si>
  <si>
    <t>2,120万円</t>
  </si>
  <si>
    <t>3億円</t>
  </si>
  <si>
    <t>3,460万円</t>
  </si>
  <si>
    <t>2,539万円</t>
  </si>
  <si>
    <t>2,350万円</t>
  </si>
  <si>
    <t>9,180万円</t>
  </si>
  <si>
    <t>6,920万円</t>
  </si>
  <si>
    <t>5,460万円</t>
  </si>
  <si>
    <t>4,580万円</t>
  </si>
  <si>
    <t>4億円</t>
  </si>
  <si>
    <t>4,610万円</t>
  </si>
  <si>
    <t>4,154万円</t>
  </si>
  <si>
    <t>3,850万円</t>
  </si>
  <si>
    <t>1億4,000万円</t>
  </si>
  <si>
    <t>1億920万円</t>
  </si>
  <si>
    <t>8,979万円</t>
  </si>
  <si>
    <t>7,580万円</t>
  </si>
  <si>
    <t>5億円</t>
  </si>
  <si>
    <t>7,605万円</t>
  </si>
  <si>
    <t>6,555万円</t>
  </si>
  <si>
    <t>5,962万円</t>
  </si>
  <si>
    <t>5,500万円</t>
  </si>
  <si>
    <t>1億9,000万円</t>
  </si>
  <si>
    <t>1億5,210万円</t>
  </si>
  <si>
    <t>1億2,979万円</t>
  </si>
  <si>
    <t>1億1,040万円</t>
  </si>
  <si>
    <t>6億円</t>
  </si>
  <si>
    <t>9,855万円</t>
  </si>
  <si>
    <t>8,680万円</t>
  </si>
  <si>
    <t>7,837万円</t>
  </si>
  <si>
    <t>7,375万円</t>
  </si>
  <si>
    <t>2億4,000万円</t>
  </si>
  <si>
    <t>1億9,710万円</t>
  </si>
  <si>
    <t>1億6,980万円</t>
  </si>
  <si>
    <t>1億5,040万円</t>
  </si>
  <si>
    <t>7億円</t>
  </si>
  <si>
    <t>1億2,250万円</t>
  </si>
  <si>
    <t>1億870万円</t>
  </si>
  <si>
    <t>9,884万円</t>
  </si>
  <si>
    <t>9,300万円</t>
  </si>
  <si>
    <t>2億9,320万円</t>
  </si>
  <si>
    <t>2億4,500万円</t>
  </si>
  <si>
    <t>2億1,239万円</t>
  </si>
  <si>
    <t>1億9,040万円</t>
  </si>
  <si>
    <t>8億円</t>
  </si>
  <si>
    <t>1億4,750万円</t>
  </si>
  <si>
    <t>1億3,120万円</t>
  </si>
  <si>
    <t>1億2,134万円</t>
  </si>
  <si>
    <t>1億1,300万円</t>
  </si>
  <si>
    <t>3億4,820万円</t>
  </si>
  <si>
    <t>2億9,500万円</t>
  </si>
  <si>
    <t>2億5,739万円</t>
  </si>
  <si>
    <t>2億3,040万円</t>
  </si>
  <si>
    <t>1億7,250万円</t>
  </si>
  <si>
    <t>1億5,435万円</t>
  </si>
  <si>
    <t>1億4,385万円</t>
  </si>
  <si>
    <t>1億3,400万円</t>
  </si>
  <si>
    <t>4億320万円</t>
  </si>
  <si>
    <t>3億4,500万円</t>
  </si>
  <si>
    <t>3億240万円</t>
  </si>
  <si>
    <t>2億7,270万円</t>
  </si>
  <si>
    <t>10億円</t>
  </si>
  <si>
    <t>1億9,750万円</t>
  </si>
  <si>
    <t>1億7,810万円</t>
  </si>
  <si>
    <t>1億6,634万円</t>
  </si>
  <si>
    <t>1億5,650万円</t>
  </si>
  <si>
    <t>4億5,820万円</t>
  </si>
  <si>
    <t>3億9,500万円</t>
  </si>
  <si>
    <t>3億4,999万円</t>
  </si>
  <si>
    <t>3億1,770万円</t>
  </si>
  <si>
    <t>※法定相続分により相続した場合の相続税額を計算しています。</t>
    <rPh sb="21" eb="23">
      <t>ケイサン</t>
    </rPh>
    <phoneticPr fontId="2"/>
  </si>
  <si>
    <t>※配偶者の税額軽減を法定相続分まで活用するものとしています。</t>
    <rPh sb="10" eb="12">
      <t>ホウテイ</t>
    </rPh>
    <rPh sb="12" eb="15">
      <t>ソウゾクブン</t>
    </rPh>
    <rPh sb="17" eb="19">
      <t>カツヨウ</t>
    </rPh>
    <phoneticPr fontId="2"/>
  </si>
  <si>
    <t>※税額は1万円未満の金額を切り捨てていますので、実際の相続税とは若干の相違があります。</t>
    <rPh sb="10" eb="12">
      <t>キンガク</t>
    </rPh>
    <rPh sb="13" eb="14">
      <t>キ</t>
    </rPh>
    <rPh sb="15" eb="16">
      <t>ス</t>
    </rPh>
    <phoneticPr fontId="2"/>
  </si>
  <si>
    <t>※課税価格は基礎控除前の相続税の課税価格になります。</t>
    <rPh sb="1" eb="3">
      <t>カゼイ</t>
    </rPh>
    <rPh sb="3" eb="5">
      <t>カカク</t>
    </rPh>
    <phoneticPr fontId="2"/>
  </si>
  <si>
    <t>簡単！！　出資持分の評価額試算ツール</t>
    <phoneticPr fontId="2"/>
  </si>
  <si>
    <t>評価額の概算（計算結果）</t>
    <phoneticPr fontId="2"/>
  </si>
  <si>
    <t>4,000万円未満</t>
    <rPh sb="5" eb="7">
      <t>マンエン</t>
    </rPh>
    <rPh sb="7" eb="9">
      <t>ミマン</t>
    </rPh>
    <phoneticPr fontId="2"/>
  </si>
  <si>
    <t>4000万円～2.5億円未満</t>
    <rPh sb="4" eb="6">
      <t>マンエン</t>
    </rPh>
    <rPh sb="11" eb="12">
      <t>エン</t>
    </rPh>
    <rPh sb="12" eb="14">
      <t>ミマン</t>
    </rPh>
    <phoneticPr fontId="2"/>
  </si>
  <si>
    <t>2.5億円～5億円未満</t>
    <rPh sb="3" eb="5">
      <t>オクエン</t>
    </rPh>
    <rPh sb="7" eb="9">
      <t>オクエン</t>
    </rPh>
    <rPh sb="9" eb="11">
      <t>ミマン</t>
    </rPh>
    <phoneticPr fontId="2"/>
  </si>
  <si>
    <t>5億円～15億円未満</t>
    <rPh sb="1" eb="3">
      <t>オクエン</t>
    </rPh>
    <rPh sb="6" eb="8">
      <t>オクエン</t>
    </rPh>
    <rPh sb="8" eb="10">
      <t>ミマン</t>
    </rPh>
    <phoneticPr fontId="2"/>
  </si>
  <si>
    <t>6,000万円未満</t>
    <rPh sb="5" eb="7">
      <t>マンエン</t>
    </rPh>
    <rPh sb="7" eb="9">
      <t>ミマン</t>
    </rPh>
    <phoneticPr fontId="2"/>
  </si>
  <si>
    <t>6,000万円～2.5億円未満</t>
    <rPh sb="5" eb="7">
      <t>マンエン</t>
    </rPh>
    <rPh sb="11" eb="13">
      <t>オクエン</t>
    </rPh>
    <rPh sb="13" eb="15">
      <t>ミマン</t>
    </rPh>
    <phoneticPr fontId="2"/>
  </si>
  <si>
    <t>5億円～20億円未満</t>
    <rPh sb="1" eb="3">
      <t>オクエン</t>
    </rPh>
    <rPh sb="6" eb="8">
      <t>オクエン</t>
    </rPh>
    <rPh sb="8" eb="10">
      <t>ミマン</t>
    </rPh>
    <phoneticPr fontId="2"/>
  </si>
  <si>
    <t>20億円以上</t>
    <rPh sb="2" eb="6">
      <t>オクエンイジョウ</t>
    </rPh>
    <phoneticPr fontId="2"/>
  </si>
  <si>
    <t>項目</t>
    <rPh sb="0" eb="2">
      <t>コウモク</t>
    </rPh>
    <phoneticPr fontId="2"/>
  </si>
  <si>
    <t>STEP１．医療法人の規模を判定するためのデータを選択する</t>
    <rPh sb="6" eb="8">
      <t>イリョウ</t>
    </rPh>
    <rPh sb="8" eb="10">
      <t>ホウジン</t>
    </rPh>
    <rPh sb="11" eb="13">
      <t>キボ</t>
    </rPh>
    <rPh sb="14" eb="16">
      <t>ハンテイ</t>
    </rPh>
    <rPh sb="25" eb="27">
      <t>センタク</t>
    </rPh>
    <phoneticPr fontId="2"/>
  </si>
  <si>
    <t>9億円</t>
    <phoneticPr fontId="2"/>
  </si>
  <si>
    <t>【単位：円】</t>
    <rPh sb="1" eb="3">
      <t>タンイ</t>
    </rPh>
    <rPh sb="4" eb="5">
      <t>エン</t>
    </rPh>
    <phoneticPr fontId="2"/>
  </si>
  <si>
    <t>「貸借対照表」の「純資産の部（又は資本の部）合計」の金額（注１）</t>
    <phoneticPr fontId="2"/>
  </si>
  <si>
    <t>損益計算書の「事業収益（又は医業収益、売上高）」の合計額</t>
    <rPh sb="0" eb="2">
      <t>ソンエキ</t>
    </rPh>
    <rPh sb="2" eb="5">
      <t>ケイサンショ</t>
    </rPh>
    <rPh sb="7" eb="9">
      <t>ジギョウ</t>
    </rPh>
    <rPh sb="9" eb="11">
      <t>シュウエキ</t>
    </rPh>
    <rPh sb="12" eb="13">
      <t>マタ</t>
    </rPh>
    <rPh sb="14" eb="16">
      <t>イギョウ</t>
    </rPh>
    <rPh sb="16" eb="18">
      <t>シュウエキ</t>
    </rPh>
    <rPh sb="19" eb="21">
      <t>ウリアゲ</t>
    </rPh>
    <rPh sb="21" eb="22">
      <t>ダカ</t>
    </rPh>
    <rPh sb="25" eb="27">
      <t>ゴウケイ</t>
    </rPh>
    <rPh sb="27" eb="28">
      <t>ガク</t>
    </rPh>
    <phoneticPr fontId="2"/>
  </si>
  <si>
    <t>STEP２．決算書より医療法人の財務データを入力する</t>
    <rPh sb="6" eb="9">
      <t>ケッサンショ</t>
    </rPh>
    <rPh sb="11" eb="13">
      <t>イリョウ</t>
    </rPh>
    <rPh sb="13" eb="15">
      <t>ホウジン</t>
    </rPh>
    <rPh sb="16" eb="18">
      <t>ザイム</t>
    </rPh>
    <rPh sb="22" eb="24">
      <t>ニュウリョク</t>
    </rPh>
    <phoneticPr fontId="2"/>
  </si>
  <si>
    <t>STEP３．出資者名簿より医療法人の出資者に関する情報を入力する</t>
    <phoneticPr fontId="2"/>
  </si>
  <si>
    <t>1～5人</t>
    <rPh sb="3" eb="4">
      <t>ニン</t>
    </rPh>
    <phoneticPr fontId="2"/>
  </si>
  <si>
    <t>6～19人</t>
    <rPh sb="4" eb="5">
      <t>ニン</t>
    </rPh>
    <phoneticPr fontId="2"/>
  </si>
  <si>
    <t>持分なし医療法人移行時のみなし贈与税額</t>
    <rPh sb="0" eb="2">
      <t>モチブン</t>
    </rPh>
    <rPh sb="4" eb="6">
      <t>イリョウ</t>
    </rPh>
    <rPh sb="6" eb="8">
      <t>ホウジン</t>
    </rPh>
    <rPh sb="8" eb="10">
      <t>イコウ</t>
    </rPh>
    <rPh sb="10" eb="11">
      <t>ジ</t>
    </rPh>
    <rPh sb="15" eb="18">
      <t>ゾウヨゼイ</t>
    </rPh>
    <rPh sb="18" eb="19">
      <t>ガク</t>
    </rPh>
    <phoneticPr fontId="2"/>
  </si>
  <si>
    <t xml:space="preserve">※出資者が5名以上いる場合には、6人目以降の出資者に係る出資金額を、№5の出資金額に加算してください。
※出資金額の合計が貸借対照表の出資金（又は資本金）の金額と一致するように入力してください。
</t>
    <phoneticPr fontId="2"/>
  </si>
  <si>
    <t>（注２）決算書の数字ではなく、法人税申告書等の数値を使用してより正確な評価額を試算したい場合、上記の値を入力ください。</t>
    <phoneticPr fontId="2"/>
  </si>
  <si>
    <t>法人税申告書上の「所得金額」に下記の金額を加減算した金額を入力してください。
・受取配当等の益金不算入の金額は加算
・繰越欠損金のうち損金算入した金額は加算
・非経常的な利益の金額は減算</t>
    <rPh sb="0" eb="3">
      <t>ホウジンゼイ</t>
    </rPh>
    <rPh sb="3" eb="6">
      <t>シンコクショ</t>
    </rPh>
    <rPh sb="6" eb="7">
      <t>ジョウ</t>
    </rPh>
    <rPh sb="9" eb="11">
      <t>ショトク</t>
    </rPh>
    <rPh sb="11" eb="13">
      <t>キンガク</t>
    </rPh>
    <rPh sb="15" eb="17">
      <t>カキ</t>
    </rPh>
    <rPh sb="18" eb="20">
      <t>キンガク</t>
    </rPh>
    <rPh sb="21" eb="23">
      <t>カゲン</t>
    </rPh>
    <rPh sb="23" eb="24">
      <t>サン</t>
    </rPh>
    <rPh sb="26" eb="28">
      <t>キンガク</t>
    </rPh>
    <rPh sb="29" eb="31">
      <t>ニュウリョク</t>
    </rPh>
    <rPh sb="40" eb="42">
      <t>ウケトリ</t>
    </rPh>
    <rPh sb="42" eb="44">
      <t>ハイトウ</t>
    </rPh>
    <rPh sb="44" eb="45">
      <t>トウ</t>
    </rPh>
    <rPh sb="46" eb="48">
      <t>エキキン</t>
    </rPh>
    <rPh sb="48" eb="51">
      <t>フサンニュウ</t>
    </rPh>
    <rPh sb="52" eb="54">
      <t>キンガク</t>
    </rPh>
    <rPh sb="55" eb="57">
      <t>カサン</t>
    </rPh>
    <rPh sb="59" eb="61">
      <t>クリコシ</t>
    </rPh>
    <rPh sb="61" eb="64">
      <t>ケッソンキン</t>
    </rPh>
    <rPh sb="67" eb="69">
      <t>ソンキン</t>
    </rPh>
    <rPh sb="69" eb="71">
      <t>サンニュウ</t>
    </rPh>
    <rPh sb="73" eb="75">
      <t>キンガク</t>
    </rPh>
    <rPh sb="76" eb="78">
      <t>カサン</t>
    </rPh>
    <rPh sb="80" eb="81">
      <t>ヒ</t>
    </rPh>
    <rPh sb="81" eb="84">
      <t>ケイジョウテキ</t>
    </rPh>
    <rPh sb="85" eb="87">
      <t>リエキ</t>
    </rPh>
    <rPh sb="88" eb="90">
      <t>キンガク</t>
    </rPh>
    <rPh sb="91" eb="93">
      <t>ゲンザン</t>
    </rPh>
    <phoneticPr fontId="2"/>
  </si>
  <si>
    <t>貸借対照表の各勘定科目の金額について、相続税評価額とした金額を基に計算した「純資産」の金額を上書き入力してください。</t>
    <phoneticPr fontId="2"/>
  </si>
  <si>
    <t>法人税申告書の別表五(一)上、「Ⅰ利益積立金額」及び「Ⅱ資本金等の額」の各「差引翌期首現在」列「差引合計額」行の合計額を入力してください。</t>
    <phoneticPr fontId="2"/>
  </si>
  <si>
    <t>（注１）「貸借対照表」の「純資産の部（又は資本の部）合計」の金額に、
　　　・賞与引当金、退職給付引当金等の税務上損金にならない金額を加算
　　　・圧縮積立金、圧縮引当金等の金額を減算
　　した金額を使用するとより正確な試算が可能となります。</t>
    <phoneticPr fontId="2"/>
  </si>
  <si>
    <t xml:space="preserve">   右記（参考）の金額を記載しない場合には、
   自動入力されますので入力不要です。</t>
    <rPh sb="3" eb="5">
      <t>ウキ</t>
    </rPh>
    <rPh sb="6" eb="8">
      <t>サンコウ</t>
    </rPh>
    <rPh sb="10" eb="12">
      <t>キンガク</t>
    </rPh>
    <rPh sb="13" eb="15">
      <t>キサイ</t>
    </rPh>
    <rPh sb="18" eb="20">
      <t>バアイ</t>
    </rPh>
    <rPh sb="27" eb="29">
      <t>ジドウ</t>
    </rPh>
    <rPh sb="29" eb="31">
      <t>ニュウリョク</t>
    </rPh>
    <rPh sb="37" eb="39">
      <t>ニュウリョク</t>
    </rPh>
    <rPh sb="39" eb="41">
      <t>フヨウ</t>
    </rPh>
    <phoneticPr fontId="2"/>
  </si>
  <si>
    <t>色の欄について選択又は入力してください。</t>
    <rPh sb="0" eb="1">
      <t>イロ</t>
    </rPh>
    <rPh sb="2" eb="3">
      <t>ラン</t>
    </rPh>
    <rPh sb="7" eb="9">
      <t>センタク</t>
    </rPh>
    <rPh sb="9" eb="10">
      <t>マタ</t>
    </rPh>
    <rPh sb="11" eb="13">
      <t>ニュウリョク</t>
    </rPh>
    <phoneticPr fontId="2"/>
  </si>
  <si>
    <t>D
簿価純資産価額</t>
    <phoneticPr fontId="2"/>
  </si>
  <si>
    <r>
      <t>●類似業種データ</t>
    </r>
    <r>
      <rPr>
        <sz val="11"/>
        <color rgb="FFFF0000"/>
        <rFont val="游ゴシック"/>
        <family val="3"/>
        <charset val="128"/>
        <scheme val="minor"/>
      </rPr>
      <t>（要更新）</t>
    </r>
    <rPh sb="1" eb="3">
      <t>ルイジ</t>
    </rPh>
    <rPh sb="3" eb="5">
      <t>ギョウシュ</t>
    </rPh>
    <rPh sb="9" eb="10">
      <t>ヨウ</t>
    </rPh>
    <rPh sb="10" eb="12">
      <t>コウシン</t>
    </rPh>
    <phoneticPr fontId="2"/>
  </si>
  <si>
    <t>１．出資持分評価額・持分なし医療法人移行時のみなし贈与税額</t>
    <rPh sb="2" eb="6">
      <t>シュッシモチブン</t>
    </rPh>
    <rPh sb="6" eb="9">
      <t>ヒョウカガク</t>
    </rPh>
    <rPh sb="10" eb="12">
      <t>モチブン</t>
    </rPh>
    <rPh sb="14" eb="16">
      <t>イリョウ</t>
    </rPh>
    <rPh sb="16" eb="18">
      <t>ホウジン</t>
    </rPh>
    <rPh sb="18" eb="20">
      <t>イコウ</t>
    </rPh>
    <rPh sb="20" eb="21">
      <t>ジ</t>
    </rPh>
    <rPh sb="25" eb="28">
      <t>ゾウヨゼイ</t>
    </rPh>
    <rPh sb="28" eb="29">
      <t>ガク</t>
    </rPh>
    <phoneticPr fontId="2"/>
  </si>
  <si>
    <t>正職員数</t>
    <rPh sb="0" eb="3">
      <t>セイショクイン</t>
    </rPh>
    <rPh sb="3" eb="4">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</si>
</sst>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quot;人&quot;"/>
    <numFmt numFmtId="178" formatCode="#,##0&quot;円&quot;;[Red]\-#,##0&quot;円&quot;"/>
    <numFmt numFmtId="179" formatCode="#,##0&quot;口&quot;;[Red]\-#,##0&quot;口&quot;"/>
    <numFmt numFmtId="180" formatCode="#,##0,&quot;千円&quot;;[Red]\-#,##0,&quot;千円&quot;"/>
    <numFmt numFmtId="181" formatCode="\(#,##0,&quot;千円&quot;;[Red]\(\-#,##0,&quot;千円&quot;"/>
    <numFmt numFmtId="182" formatCode="#,###,&quot;千円)&quot;;[Red]\-#,###,&quot;千円&quot;"/>
    <numFmt numFmtId="183" formatCode="#&quot;年&quot;"/>
    <numFmt numFmtId="184" formatCode="#&quot;月&quot;"/>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
      <sz val="11"/>
      <color rgb="FF000000"/>
      <name val="Calibri"/>
      <family val="2"/>
    </font>
    <font>
      <sz val="14"/>
      <color theme="1"/>
      <name val="游ゴシック"/>
      <family val="3"/>
      <charset val="128"/>
      <scheme val="minor"/>
    </font>
    <font>
      <sz val="16"/>
      <name val="游ゴシック"/>
      <family val="3"/>
      <charset val="128"/>
      <scheme val="minor"/>
    </font>
    <font>
      <sz val="16"/>
      <color theme="1"/>
      <name val="游ゴシック"/>
      <family val="3"/>
      <charset val="128"/>
      <scheme val="minor"/>
    </font>
    <font>
      <sz val="14"/>
      <color theme="1"/>
      <name val="游ゴシック"/>
      <family val="2"/>
      <charset val="128"/>
      <scheme val="minor"/>
    </font>
    <font>
      <b/>
      <sz val="16"/>
      <color theme="1"/>
      <name val="游ゴシック"/>
      <family val="3"/>
      <charset val="128"/>
      <scheme val="minor"/>
    </font>
    <font>
      <b/>
      <sz val="18"/>
      <color theme="1"/>
      <name val="游ゴシック"/>
      <family val="3"/>
      <charset val="128"/>
      <scheme val="minor"/>
    </font>
    <font>
      <sz val="20"/>
      <color theme="1"/>
      <name val="游ゴシック"/>
      <family val="3"/>
      <charset val="128"/>
      <scheme val="minor"/>
    </font>
    <font>
      <sz val="18"/>
      <color theme="1"/>
      <name val="游ゴシック"/>
      <family val="2"/>
      <charset val="128"/>
      <scheme val="minor"/>
    </font>
    <font>
      <sz val="20"/>
      <color theme="1"/>
      <name val="游ゴシック"/>
      <family val="2"/>
      <charset val="128"/>
      <scheme val="minor"/>
    </font>
    <font>
      <b/>
      <sz val="28"/>
      <color theme="1"/>
      <name val="游ゴシック"/>
      <family val="3"/>
      <charset val="128"/>
      <scheme val="minor"/>
    </font>
    <font>
      <sz val="18"/>
      <color theme="1"/>
      <name val="游ゴシック"/>
      <family val="3"/>
      <charset val="128"/>
      <scheme val="minor"/>
    </font>
    <font>
      <b/>
      <sz val="22"/>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s>
  <borders count="28">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dashed">
        <color auto="1"/>
      </left>
      <right style="dashed">
        <color auto="1"/>
      </right>
      <top style="dashed">
        <color auto="1"/>
      </top>
      <bottom style="dash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ashed">
        <color auto="1"/>
      </left>
      <right style="dashed">
        <color auto="1"/>
      </right>
      <top/>
      <bottom style="dashed">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1">
    <xf numFmtId="0" fontId="0" fillId="0" borderId="0" xfId="0">
      <alignment vertical="center"/>
    </xf>
    <xf numFmtId="0" fontId="0" fillId="0" borderId="2" xfId="0" applyBorder="1">
      <alignment vertical="center"/>
    </xf>
    <xf numFmtId="176" fontId="0" fillId="0" borderId="0" xfId="1" applyNumberFormat="1" applyFont="1">
      <alignment vertical="center"/>
    </xf>
    <xf numFmtId="0" fontId="0" fillId="0" borderId="2" xfId="0" applyBorder="1" applyAlignment="1">
      <alignment horizontal="center"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38" fontId="0" fillId="0" borderId="0" xfId="1" applyFont="1">
      <alignment vertical="center"/>
    </xf>
    <xf numFmtId="38" fontId="0" fillId="0" borderId="2" xfId="1" applyFont="1" applyBorder="1">
      <alignment vertical="center"/>
    </xf>
    <xf numFmtId="0" fontId="3" fillId="2" borderId="2" xfId="0" applyFont="1" applyFill="1" applyBorder="1" applyAlignment="1">
      <alignment horizontal="center" vertical="center" wrapText="1"/>
    </xf>
    <xf numFmtId="0" fontId="0" fillId="0" borderId="2" xfId="0" applyBorder="1" applyAlignment="1">
      <alignment horizontal="right" vertical="center"/>
    </xf>
    <xf numFmtId="0" fontId="0" fillId="0" borderId="0" xfId="0" applyAlignment="1">
      <alignment horizontal="center" vertical="center"/>
    </xf>
    <xf numFmtId="9" fontId="0" fillId="0" borderId="2" xfId="0" applyNumberFormat="1" applyBorder="1">
      <alignment vertical="center"/>
    </xf>
    <xf numFmtId="0" fontId="0" fillId="2" borderId="2" xfId="0" applyFill="1" applyBorder="1" applyAlignment="1">
      <alignment vertical="center" wrapText="1"/>
    </xf>
    <xf numFmtId="0" fontId="0" fillId="0" borderId="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vertical="center" shrinkToFit="1"/>
    </xf>
    <xf numFmtId="178" fontId="0" fillId="0" borderId="2" xfId="0" applyNumberFormat="1" applyBorder="1" applyAlignment="1">
      <alignment vertical="center" shrinkToFit="1"/>
    </xf>
    <xf numFmtId="0" fontId="0" fillId="2" borderId="2" xfId="0" applyFill="1" applyBorder="1" applyAlignment="1">
      <alignment horizontal="center" vertical="center" shrinkToFit="1"/>
    </xf>
    <xf numFmtId="0" fontId="0" fillId="0" borderId="0" xfId="0" applyAlignment="1">
      <alignment vertical="center" wrapText="1"/>
    </xf>
    <xf numFmtId="0" fontId="0" fillId="2" borderId="2" xfId="0" applyFill="1" applyBorder="1" applyAlignment="1">
      <alignment horizontal="center" vertical="center" wrapText="1" shrinkToFit="1"/>
    </xf>
    <xf numFmtId="0" fontId="5" fillId="0" borderId="0" xfId="0" applyFont="1">
      <alignment vertical="center"/>
    </xf>
    <xf numFmtId="0" fontId="4" fillId="2" borderId="2" xfId="0" applyFont="1" applyFill="1" applyBorder="1" applyAlignment="1">
      <alignment horizontal="center" vertical="center" wrapText="1" shrinkToFit="1"/>
    </xf>
    <xf numFmtId="180" fontId="0" fillId="0" borderId="2" xfId="0" applyNumberFormat="1" applyBorder="1" applyAlignment="1">
      <alignment vertical="center" shrinkToFit="1"/>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vertical="center" shrinkToFit="1"/>
    </xf>
    <xf numFmtId="0" fontId="8" fillId="0" borderId="1" xfId="0" applyFont="1" applyBorder="1" applyAlignment="1">
      <alignment vertical="center" shrinkToFit="1"/>
    </xf>
    <xf numFmtId="0" fontId="8" fillId="0" borderId="10" xfId="0" applyFont="1" applyBorder="1" applyAlignment="1">
      <alignment vertical="center" shrinkToFit="1"/>
    </xf>
    <xf numFmtId="0" fontId="8" fillId="0" borderId="1" xfId="0" applyFont="1" applyBorder="1">
      <alignment vertical="center"/>
    </xf>
    <xf numFmtId="0" fontId="8" fillId="0" borderId="1" xfId="0" applyFont="1" applyBorder="1" applyAlignment="1">
      <alignment horizontal="center" vertical="center"/>
    </xf>
    <xf numFmtId="0" fontId="8" fillId="0" borderId="0" xfId="0" applyFont="1">
      <alignment vertical="center"/>
    </xf>
    <xf numFmtId="178" fontId="8" fillId="0" borderId="9" xfId="0" applyNumberFormat="1" applyFont="1" applyBorder="1" applyAlignment="1">
      <alignment horizontal="center" vertical="center"/>
    </xf>
    <xf numFmtId="178" fontId="8" fillId="0" borderId="0" xfId="0" applyNumberFormat="1" applyFont="1" applyAlignment="1">
      <alignment horizontal="center" vertical="center"/>
    </xf>
    <xf numFmtId="0" fontId="6"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178" fontId="8" fillId="3" borderId="2" xfId="1" applyNumberFormat="1" applyFont="1" applyFill="1" applyBorder="1" applyAlignment="1">
      <alignment horizontal="center" vertical="center"/>
    </xf>
    <xf numFmtId="178" fontId="6" fillId="0" borderId="0" xfId="0" applyNumberFormat="1"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9" fontId="8" fillId="0" borderId="0" xfId="0" applyNumberFormat="1" applyFont="1" applyAlignment="1">
      <alignment horizontal="center" vertical="center"/>
    </xf>
    <xf numFmtId="180" fontId="8" fillId="0" borderId="0" xfId="1" applyNumberFormat="1" applyFont="1" applyFill="1" applyBorder="1" applyAlignment="1">
      <alignment horizontal="center" vertical="center"/>
    </xf>
    <xf numFmtId="181" fontId="8" fillId="0" borderId="0" xfId="1" applyNumberFormat="1" applyFont="1" applyFill="1" applyBorder="1">
      <alignment vertical="center"/>
    </xf>
    <xf numFmtId="182" fontId="8" fillId="0" borderId="0" xfId="1" applyNumberFormat="1" applyFont="1" applyFill="1" applyBorder="1" applyAlignment="1">
      <alignment horizontal="left" vertical="center"/>
    </xf>
    <xf numFmtId="179" fontId="8" fillId="0" borderId="0" xfId="0" applyNumberFormat="1" applyFont="1" applyAlignment="1">
      <alignment horizontal="center" vertical="center"/>
    </xf>
    <xf numFmtId="178" fontId="8" fillId="4" borderId="2" xfId="1" applyNumberFormat="1" applyFont="1" applyFill="1" applyBorder="1" applyAlignment="1">
      <alignment horizontal="center" vertical="center"/>
    </xf>
    <xf numFmtId="178" fontId="8" fillId="5" borderId="2" xfId="1" applyNumberFormat="1" applyFont="1" applyFill="1" applyBorder="1" applyAlignment="1">
      <alignment horizontal="center" vertical="center"/>
    </xf>
    <xf numFmtId="0" fontId="8" fillId="0" borderId="0" xfId="0" applyFont="1" applyAlignment="1"/>
    <xf numFmtId="0" fontId="8" fillId="0" borderId="2" xfId="0" applyFont="1" applyBorder="1" applyAlignment="1">
      <alignment horizontal="center" vertical="center"/>
    </xf>
    <xf numFmtId="0" fontId="7" fillId="0" borderId="0" xfId="0" applyFont="1" applyAlignment="1">
      <alignment horizontal="center" vertical="center"/>
    </xf>
    <xf numFmtId="2" fontId="0" fillId="0" borderId="0" xfId="0" applyNumberFormat="1">
      <alignment vertical="center"/>
    </xf>
    <xf numFmtId="179" fontId="0" fillId="0" borderId="2" xfId="0" applyNumberFormat="1" applyBorder="1" applyAlignment="1">
      <alignment vertical="center" shrinkToFit="1"/>
    </xf>
    <xf numFmtId="9" fontId="0" fillId="0" borderId="2" xfId="2" applyFont="1" applyBorder="1" applyAlignment="1">
      <alignment vertical="center" shrinkToFit="1"/>
    </xf>
    <xf numFmtId="178" fontId="0" fillId="0" borderId="2" xfId="0" applyNumberFormat="1" applyBorder="1">
      <alignment vertical="center"/>
    </xf>
    <xf numFmtId="0" fontId="0" fillId="0" borderId="0" xfId="0" applyAlignment="1">
      <alignment vertical="center" shrinkToFit="1"/>
    </xf>
    <xf numFmtId="0" fontId="0" fillId="0" borderId="1" xfId="0" applyBorder="1" applyAlignment="1">
      <alignment horizontal="center" vertical="center"/>
    </xf>
    <xf numFmtId="0" fontId="0" fillId="0" borderId="0" xfId="0" applyAlignment="1">
      <alignment horizontal="right" vertical="center"/>
    </xf>
    <xf numFmtId="0" fontId="10" fillId="0" borderId="0" xfId="0" applyFont="1">
      <alignment vertical="center"/>
    </xf>
    <xf numFmtId="0" fontId="9" fillId="0" borderId="0" xfId="0" applyFont="1">
      <alignment vertical="center"/>
    </xf>
    <xf numFmtId="0" fontId="0" fillId="2" borderId="2" xfId="0" applyFill="1" applyBorder="1" applyAlignment="1">
      <alignment horizontal="right" vertical="center" shrinkToFit="1"/>
    </xf>
    <xf numFmtId="178" fontId="0" fillId="2" borderId="2" xfId="0" applyNumberFormat="1" applyFill="1" applyBorder="1" applyAlignment="1">
      <alignment vertical="center" shrinkToFit="1"/>
    </xf>
    <xf numFmtId="179" fontId="0" fillId="2" borderId="2" xfId="0" applyNumberFormat="1" applyFill="1" applyBorder="1" applyAlignment="1">
      <alignment vertical="center" shrinkToFit="1"/>
    </xf>
    <xf numFmtId="180" fontId="0" fillId="2" borderId="2" xfId="0" applyNumberFormat="1" applyFill="1" applyBorder="1" applyAlignment="1">
      <alignment vertical="center" shrinkToFit="1"/>
    </xf>
    <xf numFmtId="180" fontId="4" fillId="2" borderId="2" xfId="0" applyNumberFormat="1" applyFont="1" applyFill="1" applyBorder="1" applyAlignment="1">
      <alignment vertical="center" shrinkToFit="1"/>
    </xf>
    <xf numFmtId="38" fontId="0" fillId="0" borderId="0" xfId="1" applyFont="1" applyBorder="1">
      <alignment vertical="center"/>
    </xf>
    <xf numFmtId="0" fontId="0" fillId="0" borderId="0" xfId="0" applyAlignment="1">
      <alignment horizontal="center" vertical="center" shrinkToFit="1"/>
    </xf>
    <xf numFmtId="0" fontId="0" fillId="0" borderId="2" xfId="0" applyBorder="1" applyAlignment="1">
      <alignment horizontal="center" vertical="center" shrinkToFit="1"/>
    </xf>
    <xf numFmtId="0" fontId="13"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13" fillId="2" borderId="2" xfId="0" applyFont="1" applyFill="1" applyBorder="1" applyAlignment="1">
      <alignment horizontal="center" vertical="center"/>
    </xf>
    <xf numFmtId="178" fontId="13" fillId="2" borderId="2" xfId="0" applyNumberFormat="1" applyFont="1" applyFill="1" applyBorder="1">
      <alignment vertical="center"/>
    </xf>
    <xf numFmtId="0" fontId="13" fillId="0" borderId="2" xfId="0" applyFont="1" applyBorder="1" applyAlignment="1">
      <alignment horizontal="center" vertical="center"/>
    </xf>
    <xf numFmtId="0" fontId="14" fillId="0" borderId="0" xfId="0" applyFont="1">
      <alignment vertical="center"/>
    </xf>
    <xf numFmtId="0" fontId="8" fillId="0" borderId="2" xfId="0" applyFont="1" applyBorder="1" applyAlignment="1">
      <alignment vertical="center" wrapText="1"/>
    </xf>
    <xf numFmtId="0" fontId="15" fillId="0" borderId="0" xfId="0" applyFont="1">
      <alignment vertical="center"/>
    </xf>
    <xf numFmtId="0" fontId="11" fillId="0" borderId="0" xfId="0" applyFont="1">
      <alignment vertical="center"/>
    </xf>
    <xf numFmtId="0" fontId="16" fillId="0" borderId="0" xfId="0" applyFont="1">
      <alignment vertical="center"/>
    </xf>
    <xf numFmtId="178" fontId="8" fillId="0" borderId="0" xfId="1" applyNumberFormat="1" applyFont="1" applyAlignment="1">
      <alignment horizontal="left" vertical="top" wrapText="1"/>
    </xf>
    <xf numFmtId="0" fontId="0" fillId="3" borderId="0" xfId="0" applyFill="1">
      <alignment vertical="center"/>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shrinkToFit="1"/>
    </xf>
    <xf numFmtId="0" fontId="13" fillId="0" borderId="2" xfId="0" applyFont="1" applyBorder="1" applyAlignment="1">
      <alignment vertical="center" shrinkToFit="1"/>
    </xf>
    <xf numFmtId="0" fontId="13" fillId="0" borderId="2" xfId="0" applyFont="1" applyBorder="1" applyAlignment="1">
      <alignment horizontal="center" vertical="center" shrinkToFit="1"/>
    </xf>
    <xf numFmtId="178" fontId="13" fillId="0" borderId="2" xfId="0" applyNumberFormat="1" applyFont="1" applyBorder="1">
      <alignment vertical="center"/>
    </xf>
    <xf numFmtId="180" fontId="13" fillId="0" borderId="2" xfId="0" applyNumberFormat="1" applyFont="1" applyBorder="1" applyAlignment="1">
      <alignment vertical="center" shrinkToFit="1"/>
    </xf>
    <xf numFmtId="0" fontId="13" fillId="2" borderId="2" xfId="0" applyFont="1" applyFill="1" applyBorder="1" applyAlignment="1">
      <alignment horizontal="right" vertical="center" shrinkToFit="1"/>
    </xf>
    <xf numFmtId="0" fontId="13" fillId="2" borderId="2" xfId="0" applyFont="1" applyFill="1" applyBorder="1" applyAlignment="1">
      <alignment horizontal="center" vertical="center" shrinkToFit="1"/>
    </xf>
    <xf numFmtId="178" fontId="13" fillId="2" borderId="2" xfId="0" applyNumberFormat="1" applyFont="1" applyFill="1" applyBorder="1" applyAlignment="1">
      <alignment vertical="center" shrinkToFit="1"/>
    </xf>
    <xf numFmtId="180" fontId="13" fillId="2" borderId="2" xfId="0" applyNumberFormat="1" applyFont="1" applyFill="1" applyBorder="1" applyAlignment="1">
      <alignment vertical="center" shrinkToFit="1"/>
    </xf>
    <xf numFmtId="180" fontId="8" fillId="0" borderId="2" xfId="0" applyNumberFormat="1" applyFont="1" applyBorder="1">
      <alignment vertical="center"/>
    </xf>
    <xf numFmtId="179" fontId="8" fillId="0" borderId="2" xfId="0" applyNumberFormat="1" applyFont="1" applyBorder="1">
      <alignment vertical="center"/>
    </xf>
    <xf numFmtId="178" fontId="8" fillId="0" borderId="2" xfId="0" applyNumberFormat="1" applyFont="1" applyBorder="1">
      <alignment vertical="center"/>
    </xf>
    <xf numFmtId="0" fontId="14" fillId="2" borderId="2" xfId="0" applyFont="1" applyFill="1" applyBorder="1" applyAlignment="1">
      <alignment horizontal="center" vertical="center"/>
    </xf>
    <xf numFmtId="0" fontId="8" fillId="0" borderId="2" xfId="0" applyFont="1" applyBorder="1">
      <alignment vertical="center"/>
    </xf>
    <xf numFmtId="0" fontId="18" fillId="0" borderId="0" xfId="0" applyFont="1">
      <alignment vertical="center"/>
    </xf>
    <xf numFmtId="0" fontId="19" fillId="0" borderId="0" xfId="0" applyFont="1">
      <alignment vertical="center"/>
    </xf>
    <xf numFmtId="0" fontId="13" fillId="0" borderId="0" xfId="0" applyFont="1">
      <alignment vertical="center"/>
    </xf>
    <xf numFmtId="0" fontId="21" fillId="0" borderId="0" xfId="0" applyFont="1">
      <alignment vertical="center"/>
    </xf>
    <xf numFmtId="0" fontId="22" fillId="0" borderId="0" xfId="0" applyFont="1">
      <alignment vertical="center"/>
    </xf>
    <xf numFmtId="0" fontId="14" fillId="0" borderId="0" xfId="0" applyFont="1" applyAlignment="1">
      <alignment vertical="center" wrapText="1"/>
    </xf>
    <xf numFmtId="0" fontId="20" fillId="0" borderId="0" xfId="0" applyFont="1">
      <alignment vertical="center"/>
    </xf>
    <xf numFmtId="0" fontId="20" fillId="0" borderId="0" xfId="0" applyFont="1" applyAlignment="1">
      <alignment horizontal="center" vertical="center"/>
    </xf>
    <xf numFmtId="0" fontId="11" fillId="0" borderId="2" xfId="0" applyFont="1" applyBorder="1" applyAlignment="1">
      <alignment horizontal="right" vertical="center"/>
    </xf>
    <xf numFmtId="0" fontId="6" fillId="0" borderId="0" xfId="0" applyFont="1" applyAlignment="1">
      <alignment horizontal="right"/>
    </xf>
    <xf numFmtId="184" fontId="24" fillId="0" borderId="18" xfId="0" applyNumberFormat="1"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26" xfId="0" applyFont="1" applyBorder="1">
      <alignment vertical="center"/>
    </xf>
    <xf numFmtId="183" fontId="9" fillId="0" borderId="18" xfId="0" applyNumberFormat="1" applyFont="1" applyBorder="1">
      <alignment vertical="center"/>
    </xf>
    <xf numFmtId="180" fontId="8" fillId="0" borderId="0" xfId="0" applyNumberFormat="1" applyFont="1" applyAlignment="1">
      <alignment horizontal="center" vertical="center" shrinkToFit="1"/>
    </xf>
    <xf numFmtId="0" fontId="6" fillId="0" borderId="0" xfId="0" applyFont="1" applyAlignment="1">
      <alignment horizontal="left" vertical="center"/>
    </xf>
    <xf numFmtId="178" fontId="13" fillId="3" borderId="2" xfId="0" applyNumberFormat="1" applyFont="1" applyFill="1" applyBorder="1" applyProtection="1">
      <alignment vertical="center"/>
      <protection locked="0"/>
    </xf>
    <xf numFmtId="0" fontId="13" fillId="3" borderId="2" xfId="0" applyFont="1" applyFill="1" applyBorder="1" applyAlignment="1" applyProtection="1">
      <alignment horizontal="center" vertical="center"/>
      <protection locked="0"/>
    </xf>
    <xf numFmtId="0" fontId="13" fillId="3" borderId="2" xfId="0" applyFont="1" applyFill="1" applyBorder="1" applyProtection="1">
      <alignment vertical="center"/>
      <protection locked="0"/>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20" fillId="0" borderId="0" xfId="0" applyFont="1" applyAlignment="1">
      <alignment horizontal="center" vertical="center"/>
    </xf>
    <xf numFmtId="0" fontId="14" fillId="0" borderId="24" xfId="0" applyFont="1" applyBorder="1" applyAlignment="1">
      <alignment horizontal="left" vertical="center" wrapText="1"/>
    </xf>
    <xf numFmtId="0" fontId="14" fillId="0" borderId="0" xfId="0" applyFont="1" applyAlignment="1">
      <alignment horizontal="left" vertical="center" wrapText="1"/>
    </xf>
    <xf numFmtId="0" fontId="8" fillId="2" borderId="2" xfId="0" applyFont="1" applyFill="1" applyBorder="1" applyAlignment="1">
      <alignment horizontal="center" vertical="center"/>
    </xf>
    <xf numFmtId="0" fontId="13" fillId="2" borderId="2" xfId="0" applyFont="1" applyFill="1" applyBorder="1" applyAlignment="1">
      <alignment horizontal="center" vertical="center"/>
    </xf>
    <xf numFmtId="0" fontId="14" fillId="0" borderId="0" xfId="0" applyFont="1" applyAlignment="1">
      <alignment horizontal="left" vertical="top" wrapText="1"/>
    </xf>
    <xf numFmtId="177" fontId="12" fillId="0" borderId="5" xfId="0" applyNumberFormat="1" applyFont="1" applyBorder="1" applyAlignment="1">
      <alignment horizontal="left" vertical="center" wrapText="1"/>
    </xf>
    <xf numFmtId="177" fontId="12" fillId="0" borderId="6" xfId="0" applyNumberFormat="1" applyFont="1" applyBorder="1" applyAlignment="1">
      <alignment horizontal="left" vertical="center" wrapText="1"/>
    </xf>
    <xf numFmtId="178" fontId="13" fillId="0" borderId="5" xfId="1" applyNumberFormat="1" applyFont="1" applyBorder="1" applyAlignment="1">
      <alignment horizontal="left" vertical="center"/>
    </xf>
    <xf numFmtId="178" fontId="13" fillId="0" borderId="6" xfId="1" applyNumberFormat="1" applyFont="1" applyBorder="1" applyAlignment="1">
      <alignment horizontal="left" vertical="center"/>
    </xf>
    <xf numFmtId="178" fontId="13" fillId="0" borderId="5" xfId="1" applyNumberFormat="1" applyFont="1" applyBorder="1" applyAlignment="1">
      <alignment horizontal="left" vertical="center" wrapText="1" shrinkToFit="1"/>
    </xf>
    <xf numFmtId="178" fontId="13" fillId="0" borderId="6" xfId="1" applyNumberFormat="1" applyFont="1" applyBorder="1" applyAlignment="1">
      <alignment horizontal="left" vertical="center" wrapText="1" shrinkToFit="1"/>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178" fontId="12" fillId="0" borderId="5" xfId="1" applyNumberFormat="1" applyFont="1" applyBorder="1" applyAlignment="1">
      <alignment horizontal="left" vertical="center" wrapText="1"/>
    </xf>
    <xf numFmtId="178" fontId="12" fillId="0" borderId="6" xfId="1" applyNumberFormat="1" applyFont="1" applyBorder="1" applyAlignment="1">
      <alignment horizontal="left" vertical="center" wrapText="1"/>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1" xfId="0" applyFont="1" applyBorder="1" applyAlignment="1">
      <alignment horizontal="left" vertical="center" wrapText="1"/>
    </xf>
    <xf numFmtId="178" fontId="13" fillId="3" borderId="5" xfId="0" applyNumberFormat="1" applyFont="1" applyFill="1" applyBorder="1" applyAlignment="1" applyProtection="1">
      <alignment horizontal="center" vertical="center" shrinkToFit="1"/>
      <protection locked="0"/>
    </xf>
    <xf numFmtId="178" fontId="13" fillId="3" borderId="6" xfId="0" applyNumberFormat="1" applyFont="1" applyFill="1" applyBorder="1" applyAlignment="1" applyProtection="1">
      <alignment horizontal="center" vertical="center" shrinkToFit="1"/>
      <protection locked="0"/>
    </xf>
    <xf numFmtId="177" fontId="13" fillId="3" borderId="5" xfId="0" applyNumberFormat="1" applyFont="1" applyFill="1" applyBorder="1" applyAlignment="1" applyProtection="1">
      <alignment horizontal="center" vertical="center" shrinkToFit="1"/>
      <protection locked="0"/>
    </xf>
    <xf numFmtId="177" fontId="13" fillId="3" borderId="6" xfId="0" applyNumberFormat="1" applyFont="1" applyFill="1" applyBorder="1" applyAlignment="1" applyProtection="1">
      <alignment horizontal="center" vertical="center" shrinkToFit="1"/>
      <protection locked="0"/>
    </xf>
    <xf numFmtId="0" fontId="11" fillId="2" borderId="2" xfId="0" applyFont="1" applyFill="1" applyBorder="1" applyAlignment="1">
      <alignment horizontal="center" vertical="center"/>
    </xf>
    <xf numFmtId="0" fontId="17" fillId="0" borderId="0" xfId="0" applyFont="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0" fillId="0" borderId="24" xfId="0" applyBorder="1" applyAlignment="1">
      <alignment horizontal="center" vertical="center"/>
    </xf>
    <xf numFmtId="0" fontId="0" fillId="2" borderId="20" xfId="0" applyFill="1" applyBorder="1" applyAlignment="1">
      <alignment horizontal="center" vertical="center" wrapText="1"/>
    </xf>
    <xf numFmtId="0" fontId="0" fillId="2" borderId="2" xfId="0" applyFill="1" applyBorder="1" applyAlignment="1">
      <alignment horizontal="center" vertical="center"/>
    </xf>
    <xf numFmtId="0" fontId="0" fillId="2" borderId="19" xfId="0" applyFill="1" applyBorder="1" applyAlignment="1">
      <alignment horizontal="center" vertical="center" wrapText="1"/>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0" fillId="2" borderId="27" xfId="0" applyFill="1" applyBorder="1" applyAlignment="1">
      <alignment horizontal="center" vertical="center"/>
    </xf>
  </cellXfs>
  <cellStyles count="3">
    <cellStyle name="パーセント" xfId="2" builtinId="5"/>
    <cellStyle name="桁区切り" xfId="1" builtinId="6"/>
    <cellStyle name="標準" xfId="0" builtinId="0"/>
  </cellStyles>
  <dxfs count="3">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 Id="rId9" Type="http://schemas.openxmlformats.org/officeDocument/2006/relationships/hyperlink" Target="#&#27010;&#31639;&#32080;&#26524;!A1"/></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image" Target="../media/image2.svg"/><Relationship Id="rId2" Type="http://schemas.openxmlformats.org/officeDocument/2006/relationships/image" Target="../media/image8.svg"/><Relationship Id="rId1" Type="http://schemas.openxmlformats.org/officeDocument/2006/relationships/image" Target="../media/image7.png"/><Relationship Id="rId6" Type="http://schemas.openxmlformats.org/officeDocument/2006/relationships/image" Target="../media/image1.png"/><Relationship Id="rId5" Type="http://schemas.openxmlformats.org/officeDocument/2006/relationships/image" Target="../media/image11.emf"/><Relationship Id="rId10" Type="http://schemas.openxmlformats.org/officeDocument/2006/relationships/image" Target="../media/image14.emf"/><Relationship Id="rId4" Type="http://schemas.openxmlformats.org/officeDocument/2006/relationships/image" Target="../media/image10.emf"/><Relationship Id="rId9" Type="http://schemas.openxmlformats.org/officeDocument/2006/relationships/image" Target="../media/image13.sv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5</xdr:col>
      <xdr:colOff>1376795</xdr:colOff>
      <xdr:row>47</xdr:row>
      <xdr:rowOff>219364</xdr:rowOff>
    </xdr:from>
    <xdr:to>
      <xdr:col>7</xdr:col>
      <xdr:colOff>3567545</xdr:colOff>
      <xdr:row>49</xdr:row>
      <xdr:rowOff>219364</xdr:rowOff>
    </xdr:to>
    <xdr:sp macro="" textlink="">
      <xdr:nvSpPr>
        <xdr:cNvPr id="2" name="吹き出し: 角を丸めた四角形 1">
          <a:extLst>
            <a:ext uri="{FF2B5EF4-FFF2-40B4-BE49-F238E27FC236}">
              <a16:creationId xmlns:a16="http://schemas.microsoft.com/office/drawing/2014/main" id="{2E8C2DCA-8554-4BA9-9C06-E4FBEDB78851}"/>
            </a:ext>
          </a:extLst>
        </xdr:cNvPr>
        <xdr:cNvSpPr/>
      </xdr:nvSpPr>
      <xdr:spPr>
        <a:xfrm>
          <a:off x="9291204" y="12567228"/>
          <a:ext cx="4251614" cy="692727"/>
        </a:xfrm>
        <a:prstGeom prst="wedgeRoundRectCallout">
          <a:avLst>
            <a:gd name="adj1" fmla="val 62816"/>
            <a:gd name="adj2" fmla="val 132340"/>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3893848</xdr:colOff>
      <xdr:row>49</xdr:row>
      <xdr:rowOff>99320</xdr:rowOff>
    </xdr:from>
    <xdr:to>
      <xdr:col>7</xdr:col>
      <xdr:colOff>5255923</xdr:colOff>
      <xdr:row>51</xdr:row>
      <xdr:rowOff>83181</xdr:rowOff>
    </xdr:to>
    <xdr:pic>
      <xdr:nvPicPr>
        <xdr:cNvPr id="8" name="グラフィックス 7" descr="男性のプロフィール 枠線">
          <a:extLst>
            <a:ext uri="{FF2B5EF4-FFF2-40B4-BE49-F238E27FC236}">
              <a16:creationId xmlns:a16="http://schemas.microsoft.com/office/drawing/2014/main" id="{4BDDFB0C-048A-4705-A6CD-49EE7B2BF6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869121" y="13139911"/>
          <a:ext cx="1362075" cy="1334680"/>
        </a:xfrm>
        <a:prstGeom prst="rect">
          <a:avLst/>
        </a:prstGeom>
      </xdr:spPr>
    </xdr:pic>
    <xdr:clientData/>
  </xdr:twoCellAnchor>
  <xdr:twoCellAnchor editAs="oneCell">
    <xdr:from>
      <xdr:col>7</xdr:col>
      <xdr:colOff>5169940</xdr:colOff>
      <xdr:row>49</xdr:row>
      <xdr:rowOff>416169</xdr:rowOff>
    </xdr:from>
    <xdr:to>
      <xdr:col>8</xdr:col>
      <xdr:colOff>27826</xdr:colOff>
      <xdr:row>51</xdr:row>
      <xdr:rowOff>69603</xdr:rowOff>
    </xdr:to>
    <xdr:pic>
      <xdr:nvPicPr>
        <xdr:cNvPr id="10" name="グラフィックス 9" descr="ドキュメント 単色塗りつぶし">
          <a:extLst>
            <a:ext uri="{FF2B5EF4-FFF2-40B4-BE49-F238E27FC236}">
              <a16:creationId xmlns:a16="http://schemas.microsoft.com/office/drawing/2014/main" id="{F203D1D8-6E55-4E8E-B8CD-A8556EFF32F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145213" y="13456760"/>
          <a:ext cx="1005840" cy="1004253"/>
        </a:xfrm>
        <a:prstGeom prst="rect">
          <a:avLst/>
        </a:prstGeom>
      </xdr:spPr>
    </xdr:pic>
    <xdr:clientData/>
  </xdr:twoCellAnchor>
  <xdr:twoCellAnchor editAs="oneCell">
    <xdr:from>
      <xdr:col>7</xdr:col>
      <xdr:colOff>467643</xdr:colOff>
      <xdr:row>0</xdr:row>
      <xdr:rowOff>413791</xdr:rowOff>
    </xdr:from>
    <xdr:to>
      <xdr:col>7</xdr:col>
      <xdr:colOff>2355839</xdr:colOff>
      <xdr:row>8</xdr:row>
      <xdr:rowOff>72443</xdr:rowOff>
    </xdr:to>
    <xdr:pic>
      <xdr:nvPicPr>
        <xdr:cNvPr id="12" name="グラフィックス 11" descr="病院 枠線">
          <a:extLst>
            <a:ext uri="{FF2B5EF4-FFF2-40B4-BE49-F238E27FC236}">
              <a16:creationId xmlns:a16="http://schemas.microsoft.com/office/drawing/2014/main" id="{9A59BF7D-E68B-4419-B989-4F18A521F39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421268" y="413791"/>
          <a:ext cx="1888196" cy="1912902"/>
        </a:xfrm>
        <a:prstGeom prst="rect">
          <a:avLst/>
        </a:prstGeom>
      </xdr:spPr>
    </xdr:pic>
    <xdr:clientData/>
  </xdr:twoCellAnchor>
  <xdr:twoCellAnchor editAs="oneCell">
    <xdr:from>
      <xdr:col>7</xdr:col>
      <xdr:colOff>2098775</xdr:colOff>
      <xdr:row>1</xdr:row>
      <xdr:rowOff>146408</xdr:rowOff>
    </xdr:from>
    <xdr:to>
      <xdr:col>7</xdr:col>
      <xdr:colOff>3461103</xdr:colOff>
      <xdr:row>7</xdr:row>
      <xdr:rowOff>65864</xdr:rowOff>
    </xdr:to>
    <xdr:pic>
      <xdr:nvPicPr>
        <xdr:cNvPr id="13" name="グラフィックス 12" descr="医師男性 単色塗りつぶし">
          <a:extLst>
            <a:ext uri="{FF2B5EF4-FFF2-40B4-BE49-F238E27FC236}">
              <a16:creationId xmlns:a16="http://schemas.microsoft.com/office/drawing/2014/main" id="{50CAE646-4D3E-49EF-81BD-D1987B3DF5F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2052400" y="733783"/>
          <a:ext cx="1362328" cy="1348206"/>
        </a:xfrm>
        <a:prstGeom prst="rect">
          <a:avLst/>
        </a:prstGeom>
      </xdr:spPr>
    </xdr:pic>
    <xdr:clientData/>
  </xdr:twoCellAnchor>
  <xdr:twoCellAnchor>
    <xdr:from>
      <xdr:col>7</xdr:col>
      <xdr:colOff>3818958</xdr:colOff>
      <xdr:row>0</xdr:row>
      <xdr:rowOff>448473</xdr:rowOff>
    </xdr:from>
    <xdr:to>
      <xdr:col>7</xdr:col>
      <xdr:colOff>6049849</xdr:colOff>
      <xdr:row>6</xdr:row>
      <xdr:rowOff>75856</xdr:rowOff>
    </xdr:to>
    <xdr:sp macro="" textlink="">
      <xdr:nvSpPr>
        <xdr:cNvPr id="14" name="思考の吹き出し: 雲形 13">
          <a:extLst>
            <a:ext uri="{FF2B5EF4-FFF2-40B4-BE49-F238E27FC236}">
              <a16:creationId xmlns:a16="http://schemas.microsoft.com/office/drawing/2014/main" id="{12A279D1-8271-46EB-B4A8-8CEAD05526C8}"/>
            </a:ext>
          </a:extLst>
        </xdr:cNvPr>
        <xdr:cNvSpPr/>
      </xdr:nvSpPr>
      <xdr:spPr>
        <a:xfrm>
          <a:off x="13772583" y="448473"/>
          <a:ext cx="2230891" cy="1405383"/>
        </a:xfrm>
        <a:prstGeom prst="cloudCallout">
          <a:avLst>
            <a:gd name="adj1" fmla="val -79179"/>
            <a:gd name="adj2" fmla="val 1697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4099831</xdr:colOff>
      <xdr:row>0</xdr:row>
      <xdr:rowOff>448472</xdr:rowOff>
    </xdr:from>
    <xdr:to>
      <xdr:col>7</xdr:col>
      <xdr:colOff>5889624</xdr:colOff>
      <xdr:row>6</xdr:row>
      <xdr:rowOff>75858</xdr:rowOff>
    </xdr:to>
    <xdr:sp macro="" textlink="">
      <xdr:nvSpPr>
        <xdr:cNvPr id="15" name="テキスト ボックス 14">
          <a:extLst>
            <a:ext uri="{FF2B5EF4-FFF2-40B4-BE49-F238E27FC236}">
              <a16:creationId xmlns:a16="http://schemas.microsoft.com/office/drawing/2014/main" id="{213C9CCE-C218-4515-AEA5-14C0D3F639D9}"/>
            </a:ext>
          </a:extLst>
        </xdr:cNvPr>
        <xdr:cNvSpPr txBox="1"/>
      </xdr:nvSpPr>
      <xdr:spPr>
        <a:xfrm>
          <a:off x="14053456" y="448472"/>
          <a:ext cx="1789793" cy="140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持分の評価って</a:t>
          </a:r>
          <a:endParaRPr kumimoji="1" lang="en-US" altLang="ja-JP" sz="1400"/>
        </a:p>
        <a:p>
          <a:pPr algn="ctr"/>
          <a:r>
            <a:rPr kumimoji="1" lang="ja-JP" altLang="en-US" sz="1400"/>
            <a:t>いくらだろう。。</a:t>
          </a:r>
        </a:p>
      </xdr:txBody>
    </xdr:sp>
    <xdr:clientData/>
  </xdr:twoCellAnchor>
  <xdr:twoCellAnchor>
    <xdr:from>
      <xdr:col>1</xdr:col>
      <xdr:colOff>603250</xdr:colOff>
      <xdr:row>9</xdr:row>
      <xdr:rowOff>11005</xdr:rowOff>
    </xdr:from>
    <xdr:to>
      <xdr:col>7</xdr:col>
      <xdr:colOff>5319500</xdr:colOff>
      <xdr:row>14</xdr:row>
      <xdr:rowOff>22841</xdr:rowOff>
    </xdr:to>
    <xdr:sp macro="" textlink="">
      <xdr:nvSpPr>
        <xdr:cNvPr id="16" name="正方形/長方形 15">
          <a:extLst>
            <a:ext uri="{FF2B5EF4-FFF2-40B4-BE49-F238E27FC236}">
              <a16:creationId xmlns:a16="http://schemas.microsoft.com/office/drawing/2014/main" id="{53964811-F046-49A1-BD7C-044E091E68ED}"/>
            </a:ext>
          </a:extLst>
        </xdr:cNvPr>
        <xdr:cNvSpPr/>
      </xdr:nvSpPr>
      <xdr:spPr>
        <a:xfrm>
          <a:off x="863023" y="2539460"/>
          <a:ext cx="14431750" cy="105092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a:solidFill>
                <a:sysClr val="windowText" lastClr="000000"/>
              </a:solidFill>
              <a:effectLst/>
            </a:rPr>
            <a:t>・</a:t>
          </a:r>
          <a:r>
            <a:rPr kumimoji="1" lang="ja-JP" altLang="ja-JP" sz="2400">
              <a:solidFill>
                <a:sysClr val="windowText" lastClr="000000"/>
              </a:solidFill>
              <a:effectLst/>
            </a:rPr>
            <a:t>医療法人の出資持分の評価額の概算を知りたい方のためのものです。</a:t>
          </a:r>
          <a:endParaRPr kumimoji="1" lang="en-US" altLang="ja-JP" sz="2400">
            <a:solidFill>
              <a:sysClr val="windowText" lastClr="000000"/>
            </a:solidFill>
            <a:effectLst/>
          </a:endParaRPr>
        </a:p>
      </xdr:txBody>
    </xdr:sp>
    <xdr:clientData/>
  </xdr:twoCellAnchor>
  <xdr:twoCellAnchor>
    <xdr:from>
      <xdr:col>2</xdr:col>
      <xdr:colOff>5098</xdr:colOff>
      <xdr:row>7</xdr:row>
      <xdr:rowOff>142875</xdr:rowOff>
    </xdr:from>
    <xdr:to>
      <xdr:col>2</xdr:col>
      <xdr:colOff>3335098</xdr:colOff>
      <xdr:row>10</xdr:row>
      <xdr:rowOff>130500</xdr:rowOff>
    </xdr:to>
    <xdr:sp macro="" textlink="">
      <xdr:nvSpPr>
        <xdr:cNvPr id="17" name="四角形: 角を丸くする 16">
          <a:extLst>
            <a:ext uri="{FF2B5EF4-FFF2-40B4-BE49-F238E27FC236}">
              <a16:creationId xmlns:a16="http://schemas.microsoft.com/office/drawing/2014/main" id="{6558126D-28E8-4DEA-B708-54CE27275B81}"/>
            </a:ext>
          </a:extLst>
        </xdr:cNvPr>
        <xdr:cNvSpPr/>
      </xdr:nvSpPr>
      <xdr:spPr>
        <a:xfrm>
          <a:off x="1052848" y="2397125"/>
          <a:ext cx="3330000" cy="70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本ツールの目的</a:t>
          </a:r>
        </a:p>
      </xdr:txBody>
    </xdr:sp>
    <xdr:clientData/>
  </xdr:twoCellAnchor>
  <xdr:twoCellAnchor>
    <xdr:from>
      <xdr:col>1</xdr:col>
      <xdr:colOff>603250</xdr:colOff>
      <xdr:row>16</xdr:row>
      <xdr:rowOff>175043</xdr:rowOff>
    </xdr:from>
    <xdr:to>
      <xdr:col>7</xdr:col>
      <xdr:colOff>5319500</xdr:colOff>
      <xdr:row>27</xdr:row>
      <xdr:rowOff>79375</xdr:rowOff>
    </xdr:to>
    <xdr:sp macro="" textlink="">
      <xdr:nvSpPr>
        <xdr:cNvPr id="18" name="正方形/長方形 17">
          <a:extLst>
            <a:ext uri="{FF2B5EF4-FFF2-40B4-BE49-F238E27FC236}">
              <a16:creationId xmlns:a16="http://schemas.microsoft.com/office/drawing/2014/main" id="{E78081F2-A1C7-4CF7-82DB-09C0145F2423}"/>
            </a:ext>
          </a:extLst>
        </xdr:cNvPr>
        <xdr:cNvSpPr/>
      </xdr:nvSpPr>
      <xdr:spPr>
        <a:xfrm>
          <a:off x="873125" y="4175543"/>
          <a:ext cx="14400000" cy="252370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r>
            <a:rPr kumimoji="1" lang="ja-JP" altLang="en-US" sz="2400">
              <a:solidFill>
                <a:sysClr val="windowText" lastClr="000000"/>
              </a:solidFill>
              <a:effectLst/>
            </a:rPr>
            <a:t>・</a:t>
          </a:r>
          <a:r>
            <a:rPr kumimoji="1" lang="ja-JP" altLang="ja-JP" sz="2400">
              <a:solidFill>
                <a:sysClr val="windowText" lastClr="000000"/>
              </a:solidFill>
              <a:effectLst/>
            </a:rPr>
            <a:t>持分あり医療法人を経営しているが、相続が発生したときのことを考えたい。</a:t>
          </a:r>
          <a:endParaRPr lang="ja-JP" altLang="ja-JP" sz="2400">
            <a:solidFill>
              <a:sysClr val="windowText" lastClr="000000"/>
            </a:solidFill>
            <a:effectLst/>
          </a:endParaRPr>
        </a:p>
        <a:p>
          <a:r>
            <a:rPr kumimoji="1" lang="ja-JP" altLang="en-US" sz="2400">
              <a:solidFill>
                <a:sysClr val="windowText" lastClr="000000"/>
              </a:solidFill>
              <a:effectLst/>
            </a:rPr>
            <a:t>・</a:t>
          </a:r>
          <a:r>
            <a:rPr kumimoji="1" lang="ja-JP" altLang="ja-JP" sz="2400">
              <a:solidFill>
                <a:sysClr val="windowText" lastClr="000000"/>
              </a:solidFill>
              <a:effectLst/>
            </a:rPr>
            <a:t>正確な額でなくても良いので、まずは持分評価額の概算を知りたい。</a:t>
          </a:r>
          <a:endParaRPr lang="ja-JP" altLang="ja-JP" sz="2400">
            <a:solidFill>
              <a:sysClr val="windowText" lastClr="000000"/>
            </a:solidFill>
            <a:effectLst/>
          </a:endParaRPr>
        </a:p>
        <a:p>
          <a:r>
            <a:rPr kumimoji="1" lang="ja-JP" altLang="en-US" sz="2400">
              <a:solidFill>
                <a:sysClr val="windowText" lastClr="000000"/>
              </a:solidFill>
              <a:effectLst/>
            </a:rPr>
            <a:t>・医療法人の決算書（貸借対照表、損益計算書）、出資者名簿なら手元にある。</a:t>
          </a:r>
        </a:p>
        <a:p>
          <a:r>
            <a:rPr kumimoji="1" lang="ja-JP" altLang="en-US" sz="2400">
              <a:solidFill>
                <a:sysClr val="windowText" lastClr="000000"/>
              </a:solidFill>
              <a:effectLst/>
            </a:rPr>
            <a:t>といった方を想定しています。</a:t>
          </a:r>
        </a:p>
      </xdr:txBody>
    </xdr:sp>
    <xdr:clientData/>
  </xdr:twoCellAnchor>
  <xdr:twoCellAnchor>
    <xdr:from>
      <xdr:col>1</xdr:col>
      <xdr:colOff>761423</xdr:colOff>
      <xdr:row>15</xdr:row>
      <xdr:rowOff>79270</xdr:rowOff>
    </xdr:from>
    <xdr:to>
      <xdr:col>2</xdr:col>
      <xdr:colOff>3313548</xdr:colOff>
      <xdr:row>18</xdr:row>
      <xdr:rowOff>66895</xdr:rowOff>
    </xdr:to>
    <xdr:sp macro="" textlink="">
      <xdr:nvSpPr>
        <xdr:cNvPr id="19" name="四角形: 角を丸くする 18">
          <a:extLst>
            <a:ext uri="{FF2B5EF4-FFF2-40B4-BE49-F238E27FC236}">
              <a16:creationId xmlns:a16="http://schemas.microsoft.com/office/drawing/2014/main" id="{EA87C65B-6C7F-440F-85A1-714725E92BEA}"/>
            </a:ext>
          </a:extLst>
        </xdr:cNvPr>
        <xdr:cNvSpPr/>
      </xdr:nvSpPr>
      <xdr:spPr>
        <a:xfrm>
          <a:off x="1031298" y="3841645"/>
          <a:ext cx="3330000" cy="70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ご利用いただきたい方</a:t>
          </a:r>
        </a:p>
      </xdr:txBody>
    </xdr:sp>
    <xdr:clientData/>
  </xdr:twoCellAnchor>
  <xdr:twoCellAnchor>
    <xdr:from>
      <xdr:col>1</xdr:col>
      <xdr:colOff>603250</xdr:colOff>
      <xdr:row>29</xdr:row>
      <xdr:rowOff>201388</xdr:rowOff>
    </xdr:from>
    <xdr:to>
      <xdr:col>7</xdr:col>
      <xdr:colOff>5319500</xdr:colOff>
      <xdr:row>34</xdr:row>
      <xdr:rowOff>81939</xdr:rowOff>
    </xdr:to>
    <xdr:sp macro="" textlink="">
      <xdr:nvSpPr>
        <xdr:cNvPr id="20" name="正方形/長方形 19">
          <a:extLst>
            <a:ext uri="{FF2B5EF4-FFF2-40B4-BE49-F238E27FC236}">
              <a16:creationId xmlns:a16="http://schemas.microsoft.com/office/drawing/2014/main" id="{BB40F385-C646-4062-97C7-849CC657F583}"/>
            </a:ext>
          </a:extLst>
        </xdr:cNvPr>
        <xdr:cNvSpPr/>
      </xdr:nvSpPr>
      <xdr:spPr>
        <a:xfrm>
          <a:off x="863023" y="7405752"/>
          <a:ext cx="14431750" cy="109282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r>
            <a:rPr kumimoji="1" lang="ja-JP" altLang="en-US" sz="2400">
              <a:solidFill>
                <a:sysClr val="windowText" lastClr="000000"/>
              </a:solidFill>
              <a:effectLst/>
            </a:rPr>
            <a:t>・</a:t>
          </a:r>
          <a:r>
            <a:rPr kumimoji="1" lang="ja-JP" altLang="ja-JP" sz="2400">
              <a:solidFill>
                <a:sysClr val="windowText" lastClr="000000"/>
              </a:solidFill>
              <a:effectLst/>
            </a:rPr>
            <a:t>医療法人の</a:t>
          </a:r>
          <a:r>
            <a:rPr kumimoji="1" lang="ja-JP" altLang="en-US" sz="2400">
              <a:solidFill>
                <a:sysClr val="windowText" lastClr="000000"/>
              </a:solidFill>
              <a:effectLst/>
            </a:rPr>
            <a:t>直近</a:t>
          </a:r>
          <a:r>
            <a:rPr kumimoji="1" lang="ja-JP" altLang="ja-JP" sz="2400">
              <a:solidFill>
                <a:sysClr val="windowText" lastClr="000000"/>
              </a:solidFill>
              <a:effectLst/>
            </a:rPr>
            <a:t>３</a:t>
          </a:r>
          <a:r>
            <a:rPr kumimoji="1" lang="ja-JP" altLang="en-US" sz="2400">
              <a:solidFill>
                <a:sysClr val="windowText" lastClr="000000"/>
              </a:solidFill>
              <a:effectLst/>
            </a:rPr>
            <a:t>期</a:t>
          </a:r>
          <a:r>
            <a:rPr kumimoji="1" lang="ja-JP" altLang="ja-JP" sz="2400">
              <a:solidFill>
                <a:sysClr val="windowText" lastClr="000000"/>
              </a:solidFill>
              <a:effectLst/>
            </a:rPr>
            <a:t>分の</a:t>
          </a:r>
          <a:r>
            <a:rPr kumimoji="1" lang="ja-JP" altLang="en-US" sz="2400">
              <a:solidFill>
                <a:sysClr val="windowText" lastClr="000000"/>
              </a:solidFill>
              <a:effectLst/>
            </a:rPr>
            <a:t>決算書</a:t>
          </a:r>
          <a:r>
            <a:rPr kumimoji="1" lang="ja-JP" altLang="ja-JP" sz="2400">
              <a:solidFill>
                <a:sysClr val="windowText" lastClr="000000"/>
              </a:solidFill>
              <a:effectLst/>
            </a:rPr>
            <a:t>と出資者名簿をご用意ください。</a:t>
          </a:r>
          <a:endParaRPr kumimoji="1" lang="en-US" altLang="ja-JP" sz="2400">
            <a:solidFill>
              <a:sysClr val="windowText" lastClr="000000"/>
            </a:solidFill>
            <a:effectLst/>
          </a:endParaRPr>
        </a:p>
      </xdr:txBody>
    </xdr:sp>
    <xdr:clientData/>
  </xdr:twoCellAnchor>
  <xdr:twoCellAnchor>
    <xdr:from>
      <xdr:col>2</xdr:col>
      <xdr:colOff>21450</xdr:colOff>
      <xdr:row>28</xdr:row>
      <xdr:rowOff>180976</xdr:rowOff>
    </xdr:from>
    <xdr:to>
      <xdr:col>2</xdr:col>
      <xdr:colOff>3351450</xdr:colOff>
      <xdr:row>31</xdr:row>
      <xdr:rowOff>168601</xdr:rowOff>
    </xdr:to>
    <xdr:sp macro="" textlink="">
      <xdr:nvSpPr>
        <xdr:cNvPr id="21" name="四角形: 角を丸くする 20">
          <a:extLst>
            <a:ext uri="{FF2B5EF4-FFF2-40B4-BE49-F238E27FC236}">
              <a16:creationId xmlns:a16="http://schemas.microsoft.com/office/drawing/2014/main" id="{6D4F0232-D5EC-4866-8867-CFCBD970230C}"/>
            </a:ext>
          </a:extLst>
        </xdr:cNvPr>
        <xdr:cNvSpPr/>
      </xdr:nvSpPr>
      <xdr:spPr>
        <a:xfrm>
          <a:off x="1069200" y="7038976"/>
          <a:ext cx="3330000" cy="70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ご用意いただくもの</a:t>
          </a:r>
        </a:p>
      </xdr:txBody>
    </xdr:sp>
    <xdr:clientData/>
  </xdr:twoCellAnchor>
  <xdr:twoCellAnchor>
    <xdr:from>
      <xdr:col>1</xdr:col>
      <xdr:colOff>612775</xdr:colOff>
      <xdr:row>36</xdr:row>
      <xdr:rowOff>174608</xdr:rowOff>
    </xdr:from>
    <xdr:to>
      <xdr:col>7</xdr:col>
      <xdr:colOff>5329025</xdr:colOff>
      <xdr:row>41</xdr:row>
      <xdr:rowOff>59940</xdr:rowOff>
    </xdr:to>
    <xdr:sp macro="" textlink="">
      <xdr:nvSpPr>
        <xdr:cNvPr id="22" name="正方形/長方形 21">
          <a:extLst>
            <a:ext uri="{FF2B5EF4-FFF2-40B4-BE49-F238E27FC236}">
              <a16:creationId xmlns:a16="http://schemas.microsoft.com/office/drawing/2014/main" id="{98555300-3199-424D-B918-63396CF979E5}"/>
            </a:ext>
          </a:extLst>
        </xdr:cNvPr>
        <xdr:cNvSpPr/>
      </xdr:nvSpPr>
      <xdr:spPr>
        <a:xfrm>
          <a:off x="872548" y="9076153"/>
          <a:ext cx="14431750" cy="109760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r>
            <a:rPr kumimoji="1" lang="ja-JP" altLang="en-US" sz="2400">
              <a:solidFill>
                <a:sysClr val="windowText" lastClr="000000"/>
              </a:solidFill>
              <a:effectLst/>
            </a:rPr>
            <a:t>・以下のステップに従って必要事項を入力ください。</a:t>
          </a:r>
          <a:endParaRPr kumimoji="1" lang="en-US" altLang="ja-JP" sz="2400">
            <a:solidFill>
              <a:sysClr val="windowText" lastClr="000000"/>
            </a:solidFill>
            <a:effectLst/>
          </a:endParaRPr>
        </a:p>
      </xdr:txBody>
    </xdr:sp>
    <xdr:clientData/>
  </xdr:twoCellAnchor>
  <xdr:twoCellAnchor>
    <xdr:from>
      <xdr:col>2</xdr:col>
      <xdr:colOff>30975</xdr:colOff>
      <xdr:row>35</xdr:row>
      <xdr:rowOff>158751</xdr:rowOff>
    </xdr:from>
    <xdr:to>
      <xdr:col>2</xdr:col>
      <xdr:colOff>3360975</xdr:colOff>
      <xdr:row>38</xdr:row>
      <xdr:rowOff>146376</xdr:rowOff>
    </xdr:to>
    <xdr:sp macro="" textlink="">
      <xdr:nvSpPr>
        <xdr:cNvPr id="23" name="四角形: 角を丸くする 22">
          <a:extLst>
            <a:ext uri="{FF2B5EF4-FFF2-40B4-BE49-F238E27FC236}">
              <a16:creationId xmlns:a16="http://schemas.microsoft.com/office/drawing/2014/main" id="{33F49CE8-CAA7-40E3-A545-FDAE346334EC}"/>
            </a:ext>
          </a:extLst>
        </xdr:cNvPr>
        <xdr:cNvSpPr/>
      </xdr:nvSpPr>
      <xdr:spPr>
        <a:xfrm>
          <a:off x="1078725" y="8683626"/>
          <a:ext cx="3330000" cy="70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やっていただくこと</a:t>
          </a:r>
        </a:p>
      </xdr:txBody>
    </xdr:sp>
    <xdr:clientData/>
  </xdr:twoCellAnchor>
  <xdr:twoCellAnchor>
    <xdr:from>
      <xdr:col>1</xdr:col>
      <xdr:colOff>701289</xdr:colOff>
      <xdr:row>42</xdr:row>
      <xdr:rowOff>121105</xdr:rowOff>
    </xdr:from>
    <xdr:to>
      <xdr:col>7</xdr:col>
      <xdr:colOff>4348856</xdr:colOff>
      <xdr:row>44</xdr:row>
      <xdr:rowOff>17315</xdr:rowOff>
    </xdr:to>
    <xdr:sp macro="" textlink="">
      <xdr:nvSpPr>
        <xdr:cNvPr id="24" name="テキスト ボックス 23">
          <a:extLst>
            <a:ext uri="{FF2B5EF4-FFF2-40B4-BE49-F238E27FC236}">
              <a16:creationId xmlns:a16="http://schemas.microsoft.com/office/drawing/2014/main" id="{79AB9377-F85B-40BD-BDA6-E9D996546E90}"/>
            </a:ext>
          </a:extLst>
        </xdr:cNvPr>
        <xdr:cNvSpPr txBox="1"/>
      </xdr:nvSpPr>
      <xdr:spPr>
        <a:xfrm>
          <a:off x="961062" y="10477378"/>
          <a:ext cx="13363067" cy="3811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（注）正確な評価額を算出するためには、より詳細なデータが必要です。税理士などの専門家にご相談ください。</a:t>
          </a:r>
        </a:p>
      </xdr:txBody>
    </xdr:sp>
    <xdr:clientData/>
  </xdr:twoCellAnchor>
  <xdr:twoCellAnchor>
    <xdr:from>
      <xdr:col>7</xdr:col>
      <xdr:colOff>74750</xdr:colOff>
      <xdr:row>64</xdr:row>
      <xdr:rowOff>5398</xdr:rowOff>
    </xdr:from>
    <xdr:to>
      <xdr:col>7</xdr:col>
      <xdr:colOff>6068873</xdr:colOff>
      <xdr:row>69</xdr:row>
      <xdr:rowOff>185103</xdr:rowOff>
    </xdr:to>
    <xdr:sp macro="" textlink="">
      <xdr:nvSpPr>
        <xdr:cNvPr id="25" name="四角形: 角を丸くする 24">
          <a:hlinkClick xmlns:r="http://schemas.openxmlformats.org/officeDocument/2006/relationships" r:id="rId9"/>
          <a:extLst>
            <a:ext uri="{FF2B5EF4-FFF2-40B4-BE49-F238E27FC236}">
              <a16:creationId xmlns:a16="http://schemas.microsoft.com/office/drawing/2014/main" id="{C171F267-BF98-464F-B4E4-57310A68F8C9}"/>
            </a:ext>
          </a:extLst>
        </xdr:cNvPr>
        <xdr:cNvSpPr/>
      </xdr:nvSpPr>
      <xdr:spPr>
        <a:xfrm>
          <a:off x="10028375" y="20182523"/>
          <a:ext cx="5994123" cy="176720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2400"/>
            <a:t>以上で入力終了です。</a:t>
          </a:r>
          <a:endParaRPr kumimoji="1" lang="en-US" altLang="ja-JP" sz="2400"/>
        </a:p>
        <a:p>
          <a:pPr algn="ctr"/>
          <a:r>
            <a:rPr kumimoji="1" lang="ja-JP" altLang="en-US" sz="2400"/>
            <a:t>クリックして概算結果を確認しましょう！</a:t>
          </a:r>
          <a:endParaRPr kumimoji="1" lang="en-US" altLang="ja-JP" sz="2400"/>
        </a:p>
      </xdr:txBody>
    </xdr:sp>
    <xdr:clientData/>
  </xdr:twoCellAnchor>
  <xdr:twoCellAnchor>
    <xdr:from>
      <xdr:col>1</xdr:col>
      <xdr:colOff>80658</xdr:colOff>
      <xdr:row>57</xdr:row>
      <xdr:rowOff>204107</xdr:rowOff>
    </xdr:from>
    <xdr:to>
      <xdr:col>2</xdr:col>
      <xdr:colOff>3548489</xdr:colOff>
      <xdr:row>57</xdr:row>
      <xdr:rowOff>1104653</xdr:rowOff>
    </xdr:to>
    <xdr:sp macro="" textlink="">
      <xdr:nvSpPr>
        <xdr:cNvPr id="26" name="大かっこ 25">
          <a:extLst>
            <a:ext uri="{FF2B5EF4-FFF2-40B4-BE49-F238E27FC236}">
              <a16:creationId xmlns:a16="http://schemas.microsoft.com/office/drawing/2014/main" id="{6AB710B2-06DC-40E8-B1BC-615FB1F1D25C}"/>
            </a:ext>
          </a:extLst>
        </xdr:cNvPr>
        <xdr:cNvSpPr/>
      </xdr:nvSpPr>
      <xdr:spPr>
        <a:xfrm>
          <a:off x="352801" y="17784536"/>
          <a:ext cx="4243438" cy="900546"/>
        </a:xfrm>
        <a:prstGeom prst="bracketPair">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409674</xdr:colOff>
      <xdr:row>48</xdr:row>
      <xdr:rowOff>177552</xdr:rowOff>
    </xdr:from>
    <xdr:to>
      <xdr:col>10</xdr:col>
      <xdr:colOff>14593</xdr:colOff>
      <xdr:row>51</xdr:row>
      <xdr:rowOff>185883</xdr:rowOff>
    </xdr:to>
    <xdr:pic>
      <xdr:nvPicPr>
        <xdr:cNvPr id="4" name="グラフィックス 3" descr="医師男性 単色塗りつぶし">
          <a:extLst>
            <a:ext uri="{FF2B5EF4-FFF2-40B4-BE49-F238E27FC236}">
              <a16:creationId xmlns:a16="http://schemas.microsoft.com/office/drawing/2014/main" id="{2F8814D4-7270-495B-8CC3-00302D9E68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346615" y="412876"/>
          <a:ext cx="972037" cy="972037"/>
        </a:xfrm>
        <a:prstGeom prst="rect">
          <a:avLst/>
        </a:prstGeom>
      </xdr:spPr>
    </xdr:pic>
    <xdr:clientData/>
  </xdr:twoCellAnchor>
  <xdr:twoCellAnchor>
    <xdr:from>
      <xdr:col>10</xdr:col>
      <xdr:colOff>399311</xdr:colOff>
      <xdr:row>47</xdr:row>
      <xdr:rowOff>122565</xdr:rowOff>
    </xdr:from>
    <xdr:to>
      <xdr:col>12</xdr:col>
      <xdr:colOff>492130</xdr:colOff>
      <xdr:row>51</xdr:row>
      <xdr:rowOff>168787</xdr:rowOff>
    </xdr:to>
    <xdr:sp macro="" textlink="">
      <xdr:nvSpPr>
        <xdr:cNvPr id="5" name="思考の吹き出し: 雲形 4">
          <a:extLst>
            <a:ext uri="{FF2B5EF4-FFF2-40B4-BE49-F238E27FC236}">
              <a16:creationId xmlns:a16="http://schemas.microsoft.com/office/drawing/2014/main" id="{1B1EAE3B-7814-43F0-AC77-76832EF7D822}"/>
            </a:ext>
          </a:extLst>
        </xdr:cNvPr>
        <xdr:cNvSpPr/>
      </xdr:nvSpPr>
      <xdr:spPr>
        <a:xfrm>
          <a:off x="12703370" y="122565"/>
          <a:ext cx="2827054" cy="1245251"/>
        </a:xfrm>
        <a:prstGeom prst="cloudCallout">
          <a:avLst>
            <a:gd name="adj1" fmla="val -79179"/>
            <a:gd name="adj2" fmla="val 1697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587741</xdr:colOff>
      <xdr:row>47</xdr:row>
      <xdr:rowOff>176492</xdr:rowOff>
    </xdr:from>
    <xdr:to>
      <xdr:col>12</xdr:col>
      <xdr:colOff>394385</xdr:colOff>
      <xdr:row>51</xdr:row>
      <xdr:rowOff>25212</xdr:rowOff>
    </xdr:to>
    <xdr:sp macro="" textlink="">
      <xdr:nvSpPr>
        <xdr:cNvPr id="6" name="テキスト ボックス 5">
          <a:extLst>
            <a:ext uri="{FF2B5EF4-FFF2-40B4-BE49-F238E27FC236}">
              <a16:creationId xmlns:a16="http://schemas.microsoft.com/office/drawing/2014/main" id="{475967EA-81DE-4D08-928F-0C1A02B21B5A}"/>
            </a:ext>
          </a:extLst>
        </xdr:cNvPr>
        <xdr:cNvSpPr txBox="1"/>
      </xdr:nvSpPr>
      <xdr:spPr>
        <a:xfrm>
          <a:off x="12891800" y="176492"/>
          <a:ext cx="2540879" cy="1047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持分を含めた自分の財産に</a:t>
          </a:r>
          <a:endParaRPr kumimoji="1" lang="en-US" altLang="ja-JP" sz="1400"/>
        </a:p>
        <a:p>
          <a:pPr algn="ctr"/>
          <a:r>
            <a:rPr kumimoji="1" lang="ja-JP" altLang="en-US" sz="1400"/>
            <a:t>下の表を当てはめると。。</a:t>
          </a:r>
        </a:p>
      </xdr:txBody>
    </xdr:sp>
    <xdr:clientData/>
  </xdr:twoCellAnchor>
  <xdr:twoCellAnchor>
    <xdr:from>
      <xdr:col>3</xdr:col>
      <xdr:colOff>136410</xdr:colOff>
      <xdr:row>8</xdr:row>
      <xdr:rowOff>213615</xdr:rowOff>
    </xdr:from>
    <xdr:to>
      <xdr:col>4</xdr:col>
      <xdr:colOff>465070</xdr:colOff>
      <xdr:row>13</xdr:row>
      <xdr:rowOff>196020</xdr:rowOff>
    </xdr:to>
    <xdr:sp macro="" textlink="">
      <xdr:nvSpPr>
        <xdr:cNvPr id="12" name="矢印: 下 11">
          <a:extLst>
            <a:ext uri="{FF2B5EF4-FFF2-40B4-BE49-F238E27FC236}">
              <a16:creationId xmlns:a16="http://schemas.microsoft.com/office/drawing/2014/main" id="{A455DF17-7C18-4998-A525-6CDCCB0C397D}"/>
            </a:ext>
          </a:extLst>
        </xdr:cNvPr>
        <xdr:cNvSpPr/>
      </xdr:nvSpPr>
      <xdr:spPr>
        <a:xfrm rot="16200000">
          <a:off x="3816469" y="2404420"/>
          <a:ext cx="1194677" cy="16967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274615</xdr:colOff>
      <xdr:row>6</xdr:row>
      <xdr:rowOff>221535</xdr:rowOff>
    </xdr:from>
    <xdr:to>
      <xdr:col>2</xdr:col>
      <xdr:colOff>816697</xdr:colOff>
      <xdr:row>16</xdr:row>
      <xdr:rowOff>118828</xdr:rowOff>
    </xdr:to>
    <xdr:grpSp>
      <xdr:nvGrpSpPr>
        <xdr:cNvPr id="38" name="グループ化 37">
          <a:extLst>
            <a:ext uri="{FF2B5EF4-FFF2-40B4-BE49-F238E27FC236}">
              <a16:creationId xmlns:a16="http://schemas.microsoft.com/office/drawing/2014/main" id="{D2634FE3-3709-4D3A-8870-5F4A71A64D74}"/>
            </a:ext>
          </a:extLst>
        </xdr:cNvPr>
        <xdr:cNvGrpSpPr/>
      </xdr:nvGrpSpPr>
      <xdr:grpSpPr>
        <a:xfrm>
          <a:off x="958174" y="1980859"/>
          <a:ext cx="1909199" cy="2429822"/>
          <a:chOff x="1504200" y="1522133"/>
          <a:chExt cx="1910219" cy="2495020"/>
        </a:xfrm>
      </xdr:grpSpPr>
      <xdr:pic>
        <xdr:nvPicPr>
          <xdr:cNvPr id="7" name="図 6" descr="アイコン&#10;&#10;自動的に生成された説明">
            <a:extLst>
              <a:ext uri="{FF2B5EF4-FFF2-40B4-BE49-F238E27FC236}">
                <a16:creationId xmlns:a16="http://schemas.microsoft.com/office/drawing/2014/main" id="{AD975C86-3FBD-4521-AF53-FECEDB2A62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04200" y="2159571"/>
            <a:ext cx="1910219" cy="1195121"/>
          </a:xfrm>
          <a:prstGeom prst="rect">
            <a:avLst/>
          </a:prstGeom>
        </xdr:spPr>
      </xdr:pic>
      <xdr:sp macro="" textlink="">
        <xdr:nvSpPr>
          <xdr:cNvPr id="13" name="テキスト ボックス 12">
            <a:extLst>
              <a:ext uri="{FF2B5EF4-FFF2-40B4-BE49-F238E27FC236}">
                <a16:creationId xmlns:a16="http://schemas.microsoft.com/office/drawing/2014/main" id="{88167DFC-16E5-498A-954A-7401C89E7ADE}"/>
              </a:ext>
            </a:extLst>
          </xdr:cNvPr>
          <xdr:cNvSpPr txBox="1"/>
        </xdr:nvSpPr>
        <xdr:spPr>
          <a:xfrm>
            <a:off x="1725775" y="3495728"/>
            <a:ext cx="146706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当初出資額</a:t>
            </a:r>
          </a:p>
        </xdr:txBody>
      </xdr:sp>
      <xdr:sp macro="" textlink="">
        <xdr:nvSpPr>
          <xdr:cNvPr id="18" name="テキスト ボックス 17">
            <a:extLst>
              <a:ext uri="{FF2B5EF4-FFF2-40B4-BE49-F238E27FC236}">
                <a16:creationId xmlns:a16="http://schemas.microsoft.com/office/drawing/2014/main" id="{505D2E8B-DF0E-4651-B94D-A3ACB3A77417}"/>
              </a:ext>
            </a:extLst>
          </xdr:cNvPr>
          <xdr:cNvSpPr txBox="1"/>
        </xdr:nvSpPr>
        <xdr:spPr>
          <a:xfrm>
            <a:off x="1982256" y="1522133"/>
            <a:ext cx="954107"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設立時</a:t>
            </a:r>
          </a:p>
        </xdr:txBody>
      </xdr:sp>
    </xdr:grpSp>
    <xdr:clientData/>
  </xdr:twoCellAnchor>
  <xdr:twoCellAnchor>
    <xdr:from>
      <xdr:col>8</xdr:col>
      <xdr:colOff>743444</xdr:colOff>
      <xdr:row>4</xdr:row>
      <xdr:rowOff>8987</xdr:rowOff>
    </xdr:from>
    <xdr:to>
      <xdr:col>12</xdr:col>
      <xdr:colOff>286985</xdr:colOff>
      <xdr:row>6</xdr:row>
      <xdr:rowOff>103327</xdr:rowOff>
    </xdr:to>
    <xdr:sp macro="" textlink="">
      <xdr:nvSpPr>
        <xdr:cNvPr id="20" name="テキスト ボックス 19">
          <a:extLst>
            <a:ext uri="{FF2B5EF4-FFF2-40B4-BE49-F238E27FC236}">
              <a16:creationId xmlns:a16="http://schemas.microsoft.com/office/drawing/2014/main" id="{A28AC435-117F-4D32-B0E6-9258E4CE4162}"/>
            </a:ext>
          </a:extLst>
        </xdr:cNvPr>
        <xdr:cNvSpPr txBox="1"/>
      </xdr:nvSpPr>
      <xdr:spPr>
        <a:xfrm>
          <a:off x="10350087" y="1464951"/>
          <a:ext cx="5040827" cy="420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t>（参考）持分なしに移行したとしたら、、、</a:t>
          </a:r>
          <a:endParaRPr kumimoji="1" lang="en-US" altLang="ja-JP" sz="1600" b="1"/>
        </a:p>
      </xdr:txBody>
    </xdr:sp>
    <xdr:clientData/>
  </xdr:twoCellAnchor>
  <xdr:twoCellAnchor>
    <xdr:from>
      <xdr:col>4</xdr:col>
      <xdr:colOff>684506</xdr:colOff>
      <xdr:row>6</xdr:row>
      <xdr:rowOff>221535</xdr:rowOff>
    </xdr:from>
    <xdr:to>
      <xdr:col>7</xdr:col>
      <xdr:colOff>517938</xdr:colOff>
      <xdr:row>16</xdr:row>
      <xdr:rowOff>118828</xdr:rowOff>
    </xdr:to>
    <xdr:grpSp>
      <xdr:nvGrpSpPr>
        <xdr:cNvPr id="39" name="グループ化 38">
          <a:extLst>
            <a:ext uri="{FF2B5EF4-FFF2-40B4-BE49-F238E27FC236}">
              <a16:creationId xmlns:a16="http://schemas.microsoft.com/office/drawing/2014/main" id="{3A53B9C7-AD2E-45B3-A5AC-1082020F7949}"/>
            </a:ext>
          </a:extLst>
        </xdr:cNvPr>
        <xdr:cNvGrpSpPr/>
      </xdr:nvGrpSpPr>
      <xdr:grpSpPr>
        <a:xfrm>
          <a:off x="5469418" y="1980859"/>
          <a:ext cx="3251226" cy="2429822"/>
          <a:chOff x="5720221" y="1522133"/>
          <a:chExt cx="3262432" cy="2495020"/>
        </a:xfrm>
      </xdr:grpSpPr>
      <xdr:sp macro="" textlink="">
        <xdr:nvSpPr>
          <xdr:cNvPr id="14" name="テキスト ボックス 13">
            <a:extLst>
              <a:ext uri="{FF2B5EF4-FFF2-40B4-BE49-F238E27FC236}">
                <a16:creationId xmlns:a16="http://schemas.microsoft.com/office/drawing/2014/main" id="{B092007A-88D4-4484-B0A1-9A4E121F32B9}"/>
              </a:ext>
            </a:extLst>
          </xdr:cNvPr>
          <xdr:cNvSpPr txBox="1"/>
        </xdr:nvSpPr>
        <xdr:spPr>
          <a:xfrm>
            <a:off x="6448013" y="3495728"/>
            <a:ext cx="198002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出資持分評価額</a:t>
            </a:r>
          </a:p>
        </xdr:txBody>
      </xdr:sp>
      <xdr:sp macro="" textlink="">
        <xdr:nvSpPr>
          <xdr:cNvPr id="19" name="テキスト ボックス 18">
            <a:extLst>
              <a:ext uri="{FF2B5EF4-FFF2-40B4-BE49-F238E27FC236}">
                <a16:creationId xmlns:a16="http://schemas.microsoft.com/office/drawing/2014/main" id="{0ABF7B2E-A7E8-49CD-8C31-F52CEC7BEF2E}"/>
              </a:ext>
            </a:extLst>
          </xdr:cNvPr>
          <xdr:cNvSpPr txBox="1"/>
        </xdr:nvSpPr>
        <xdr:spPr>
          <a:xfrm>
            <a:off x="5720221" y="1522133"/>
            <a:ext cx="3262432"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現在（持分あり医療法人）</a:t>
            </a:r>
          </a:p>
        </xdr:txBody>
      </xdr:sp>
      <xdr:pic>
        <xdr:nvPicPr>
          <xdr:cNvPr id="23" name="図 22" descr="アイコン&#10;&#10;自動的に生成された説明">
            <a:extLst>
              <a:ext uri="{FF2B5EF4-FFF2-40B4-BE49-F238E27FC236}">
                <a16:creationId xmlns:a16="http://schemas.microsoft.com/office/drawing/2014/main" id="{4501D6E8-4C52-48AB-A8FF-C415808609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96328" y="2159571"/>
            <a:ext cx="1910219" cy="1195121"/>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329350</xdr:colOff>
          <xdr:row>25</xdr:row>
          <xdr:rowOff>8229</xdr:rowOff>
        </xdr:from>
        <xdr:to>
          <xdr:col>5</xdr:col>
          <xdr:colOff>1152422</xdr:colOff>
          <xdr:row>44</xdr:row>
          <xdr:rowOff>17764</xdr:rowOff>
        </xdr:to>
        <xdr:pic>
          <xdr:nvPicPr>
            <xdr:cNvPr id="31" name="図 17">
              <a:extLst>
                <a:ext uri="{FF2B5EF4-FFF2-40B4-BE49-F238E27FC236}">
                  <a16:creationId xmlns:a16="http://schemas.microsoft.com/office/drawing/2014/main" id="{1C5A8797-C7B2-4CC3-96B9-246699F53BBE}"/>
                </a:ext>
              </a:extLst>
            </xdr:cNvPr>
            <xdr:cNvPicPr>
              <a:picLocks noChangeAspect="1" noChangeArrowheads="1"/>
              <a:extLst>
                <a:ext uri="{84589F7E-364E-4C9E-8A38-B11213B215E9}">
                  <a14:cameraTool cellRange="医贈与税!$O$3:$R$9" spid="_x0000_s68942"/>
                </a:ext>
              </a:extLst>
            </xdr:cNvPicPr>
          </xdr:nvPicPr>
          <xdr:blipFill>
            <a:blip xmlns:r="http://schemas.openxmlformats.org/officeDocument/2006/relationships" r:embed="rId4"/>
            <a:srcRect/>
            <a:stretch>
              <a:fillRect/>
            </a:stretch>
          </xdr:blipFill>
          <xdr:spPr bwMode="auto">
            <a:xfrm>
              <a:off x="329350" y="6710365"/>
              <a:ext cx="6988345" cy="4616172"/>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421739</xdr:colOff>
          <xdr:row>25</xdr:row>
          <xdr:rowOff>8695</xdr:rowOff>
        </xdr:from>
        <xdr:to>
          <xdr:col>12</xdr:col>
          <xdr:colOff>141459</xdr:colOff>
          <xdr:row>44</xdr:row>
          <xdr:rowOff>17318</xdr:rowOff>
        </xdr:to>
        <xdr:pic>
          <xdr:nvPicPr>
            <xdr:cNvPr id="32" name="図 27">
              <a:extLst>
                <a:ext uri="{FF2B5EF4-FFF2-40B4-BE49-F238E27FC236}">
                  <a16:creationId xmlns:a16="http://schemas.microsoft.com/office/drawing/2014/main" id="{1746CCA7-9EF7-4BFB-A88B-71F539091D0D}"/>
                </a:ext>
              </a:extLst>
            </xdr:cNvPr>
            <xdr:cNvPicPr>
              <a:picLocks noChangeAspect="1" noChangeArrowheads="1"/>
              <a:extLst>
                <a:ext uri="{84589F7E-364E-4C9E-8A38-B11213B215E9}">
                  <a14:cameraTool cellRange="基礎データ!$M$3:$N$15" spid="_x0000_s68943"/>
                </a:ext>
              </a:extLst>
            </xdr:cNvPicPr>
          </xdr:nvPicPr>
          <xdr:blipFill>
            <a:blip xmlns:r="http://schemas.openxmlformats.org/officeDocument/2006/relationships" r:embed="rId5"/>
            <a:srcRect/>
            <a:stretch>
              <a:fillRect/>
            </a:stretch>
          </xdr:blipFill>
          <xdr:spPr bwMode="auto">
            <a:xfrm>
              <a:off x="7973703" y="6757838"/>
              <a:ext cx="7271685" cy="4662266"/>
            </a:xfrm>
            <a:prstGeom prst="rect">
              <a:avLst/>
            </a:prstGeom>
            <a:solidFill>
              <a:srgbClr val="FFFFFF" mc:Ignorable="a14" a14:legacySpreadsheetColorIndex="9"/>
            </a:solidFill>
          </xdr:spPr>
        </xdr:pic>
        <xdr:clientData/>
      </xdr:twoCellAnchor>
    </mc:Choice>
    <mc:Fallback/>
  </mc:AlternateContent>
  <xdr:twoCellAnchor editAs="oneCell">
    <xdr:from>
      <xdr:col>10</xdr:col>
      <xdr:colOff>1121517</xdr:colOff>
      <xdr:row>0</xdr:row>
      <xdr:rowOff>56992</xdr:rowOff>
    </xdr:from>
    <xdr:to>
      <xdr:col>11</xdr:col>
      <xdr:colOff>1028403</xdr:colOff>
      <xdr:row>3</xdr:row>
      <xdr:rowOff>240074</xdr:rowOff>
    </xdr:to>
    <xdr:pic>
      <xdr:nvPicPr>
        <xdr:cNvPr id="33" name="グラフィックス 32" descr="男性のプロフィール 枠線">
          <a:extLst>
            <a:ext uri="{FF2B5EF4-FFF2-40B4-BE49-F238E27FC236}">
              <a16:creationId xmlns:a16="http://schemas.microsoft.com/office/drawing/2014/main" id="{A3108F59-773D-48A0-9E24-A5E3DB9064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3452062" y="56992"/>
          <a:ext cx="1275023" cy="1256809"/>
        </a:xfrm>
        <a:prstGeom prst="rect">
          <a:avLst/>
        </a:prstGeom>
      </xdr:spPr>
    </xdr:pic>
    <xdr:clientData/>
  </xdr:twoCellAnchor>
  <xdr:twoCellAnchor editAs="oneCell">
    <xdr:from>
      <xdr:col>11</xdr:col>
      <xdr:colOff>888219</xdr:colOff>
      <xdr:row>0</xdr:row>
      <xdr:rowOff>240029</xdr:rowOff>
    </xdr:from>
    <xdr:to>
      <xdr:col>12</xdr:col>
      <xdr:colOff>355220</xdr:colOff>
      <xdr:row>3</xdr:row>
      <xdr:rowOff>1439</xdr:rowOff>
    </xdr:to>
    <xdr:pic>
      <xdr:nvPicPr>
        <xdr:cNvPr id="34" name="グラフィックス 33" descr="計算機 枠線">
          <a:extLst>
            <a:ext uri="{FF2B5EF4-FFF2-40B4-BE49-F238E27FC236}">
              <a16:creationId xmlns:a16="http://schemas.microsoft.com/office/drawing/2014/main" id="{4BAECD22-34DA-4584-804F-3718B36318A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4586901" y="240029"/>
          <a:ext cx="835137" cy="835137"/>
        </a:xfrm>
        <a:prstGeom prst="rect">
          <a:avLst/>
        </a:prstGeom>
      </xdr:spPr>
    </xdr:pic>
    <xdr:clientData/>
  </xdr:twoCellAnchor>
  <xdr:twoCellAnchor>
    <xdr:from>
      <xdr:col>8</xdr:col>
      <xdr:colOff>1177635</xdr:colOff>
      <xdr:row>0</xdr:row>
      <xdr:rowOff>157882</xdr:rowOff>
    </xdr:from>
    <xdr:to>
      <xdr:col>10</xdr:col>
      <xdr:colOff>903019</xdr:colOff>
      <xdr:row>2</xdr:row>
      <xdr:rowOff>171844</xdr:rowOff>
    </xdr:to>
    <xdr:sp macro="" textlink="">
      <xdr:nvSpPr>
        <xdr:cNvPr id="35" name="吹き出し: 角を丸めた四角形 34">
          <a:extLst>
            <a:ext uri="{FF2B5EF4-FFF2-40B4-BE49-F238E27FC236}">
              <a16:creationId xmlns:a16="http://schemas.microsoft.com/office/drawing/2014/main" id="{877A392A-6E80-45B6-9ADE-4D92D08E9257}"/>
            </a:ext>
          </a:extLst>
        </xdr:cNvPr>
        <xdr:cNvSpPr/>
      </xdr:nvSpPr>
      <xdr:spPr>
        <a:xfrm>
          <a:off x="10771908" y="157882"/>
          <a:ext cx="2461656" cy="845235"/>
        </a:xfrm>
        <a:prstGeom prst="wedgeRoundRectCallout">
          <a:avLst>
            <a:gd name="adj1" fmla="val 61777"/>
            <a:gd name="adj2" fmla="val 14874"/>
            <a:gd name="adj3" fmla="val 1666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概算が出ました！</a:t>
          </a:r>
          <a:endParaRPr kumimoji="1" lang="en-US" altLang="ja-JP" sz="1400">
            <a:solidFill>
              <a:schemeClr val="tx1"/>
            </a:solidFill>
          </a:endParaRPr>
        </a:p>
        <a:p>
          <a:pPr algn="l"/>
          <a:r>
            <a:rPr kumimoji="1" lang="ja-JP" altLang="en-US" sz="1400">
              <a:solidFill>
                <a:schemeClr val="tx1"/>
              </a:solidFill>
            </a:rPr>
            <a:t>結果は、如何でしょうか。</a:t>
          </a:r>
        </a:p>
      </xdr:txBody>
    </xdr:sp>
    <xdr:clientData/>
  </xdr:twoCellAnchor>
  <xdr:twoCellAnchor>
    <xdr:from>
      <xdr:col>8</xdr:col>
      <xdr:colOff>115624</xdr:colOff>
      <xdr:row>8</xdr:row>
      <xdr:rowOff>213615</xdr:rowOff>
    </xdr:from>
    <xdr:to>
      <xdr:col>9</xdr:col>
      <xdr:colOff>444284</xdr:colOff>
      <xdr:row>13</xdr:row>
      <xdr:rowOff>196020</xdr:rowOff>
    </xdr:to>
    <xdr:sp macro="" textlink="">
      <xdr:nvSpPr>
        <xdr:cNvPr id="45" name="矢印: 下 44">
          <a:extLst>
            <a:ext uri="{FF2B5EF4-FFF2-40B4-BE49-F238E27FC236}">
              <a16:creationId xmlns:a16="http://schemas.microsoft.com/office/drawing/2014/main" id="{F0D561C0-B198-4DFB-9F4E-E35556EFDAA6}"/>
            </a:ext>
          </a:extLst>
        </xdr:cNvPr>
        <xdr:cNvSpPr/>
      </xdr:nvSpPr>
      <xdr:spPr>
        <a:xfrm rot="16200000">
          <a:off x="9960956" y="2404420"/>
          <a:ext cx="1194677" cy="1696796"/>
        </a:xfrm>
        <a:prstGeom prst="downArrow">
          <a:avLst/>
        </a:prstGeom>
        <a:solidFill>
          <a:schemeClr val="accent1">
            <a:lumMod val="60000"/>
            <a:lumOff val="40000"/>
          </a:schemeClr>
        </a:solidFill>
        <a:ln>
          <a:solidFill>
            <a:schemeClr val="accent1">
              <a:shade val="50000"/>
              <a:alpha val="81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542500</xdr:colOff>
      <xdr:row>6</xdr:row>
      <xdr:rowOff>221535</xdr:rowOff>
    </xdr:from>
    <xdr:to>
      <xdr:col>11</xdr:col>
      <xdr:colOff>1068659</xdr:colOff>
      <xdr:row>16</xdr:row>
      <xdr:rowOff>118828</xdr:rowOff>
    </xdr:to>
    <xdr:grpSp>
      <xdr:nvGrpSpPr>
        <xdr:cNvPr id="47" name="グループ化 46">
          <a:extLst>
            <a:ext uri="{FF2B5EF4-FFF2-40B4-BE49-F238E27FC236}">
              <a16:creationId xmlns:a16="http://schemas.microsoft.com/office/drawing/2014/main" id="{77CA2441-ED7A-4FC7-A1F6-F2CE15BC3330}"/>
            </a:ext>
          </a:extLst>
        </xdr:cNvPr>
        <xdr:cNvGrpSpPr/>
      </xdr:nvGrpSpPr>
      <xdr:grpSpPr>
        <a:xfrm>
          <a:off x="11479441" y="1980859"/>
          <a:ext cx="3260394" cy="2429822"/>
          <a:chOff x="5720221" y="1522133"/>
          <a:chExt cx="3262432" cy="2495020"/>
        </a:xfrm>
      </xdr:grpSpPr>
      <xdr:sp macro="" textlink="">
        <xdr:nvSpPr>
          <xdr:cNvPr id="48" name="テキスト ボックス 47">
            <a:extLst>
              <a:ext uri="{FF2B5EF4-FFF2-40B4-BE49-F238E27FC236}">
                <a16:creationId xmlns:a16="http://schemas.microsoft.com/office/drawing/2014/main" id="{A3EE5641-F73C-4CDF-A209-8140141C9C1F}"/>
              </a:ext>
            </a:extLst>
          </xdr:cNvPr>
          <xdr:cNvSpPr txBox="1"/>
        </xdr:nvSpPr>
        <xdr:spPr>
          <a:xfrm>
            <a:off x="6361423" y="3495728"/>
            <a:ext cx="198002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みなし贈与税額</a:t>
            </a:r>
          </a:p>
        </xdr:txBody>
      </xdr:sp>
      <xdr:sp macro="" textlink="">
        <xdr:nvSpPr>
          <xdr:cNvPr id="49" name="テキスト ボックス 48">
            <a:extLst>
              <a:ext uri="{FF2B5EF4-FFF2-40B4-BE49-F238E27FC236}">
                <a16:creationId xmlns:a16="http://schemas.microsoft.com/office/drawing/2014/main" id="{A620F80F-0EAD-47A1-9430-8A1BB1463DB1}"/>
              </a:ext>
            </a:extLst>
          </xdr:cNvPr>
          <xdr:cNvSpPr txBox="1"/>
        </xdr:nvSpPr>
        <xdr:spPr>
          <a:xfrm>
            <a:off x="5720221" y="1522133"/>
            <a:ext cx="3262432"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移行後（持分なし医療法人）</a:t>
            </a:r>
          </a:p>
        </xdr:txBody>
      </xdr:sp>
      <xdr:pic>
        <xdr:nvPicPr>
          <xdr:cNvPr id="50" name="図 49" descr="アイコン&#10;&#10;自動的に生成された説明">
            <a:extLst>
              <a:ext uri="{FF2B5EF4-FFF2-40B4-BE49-F238E27FC236}">
                <a16:creationId xmlns:a16="http://schemas.microsoft.com/office/drawing/2014/main" id="{C6841279-1C80-4069-B764-C9DCA82B47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96328" y="2159571"/>
            <a:ext cx="1910219" cy="1195121"/>
          </a:xfrm>
          <a:prstGeom prst="rect">
            <a:avLst/>
          </a:prstGeom>
        </xdr:spPr>
      </xdr:pic>
    </xdr:grpSp>
    <xdr:clientData/>
  </xdr:twoCellAnchor>
  <xdr:twoCellAnchor>
    <xdr:from>
      <xdr:col>1</xdr:col>
      <xdr:colOff>452276</xdr:colOff>
      <xdr:row>16</xdr:row>
      <xdr:rowOff>150260</xdr:rowOff>
    </xdr:from>
    <xdr:to>
      <xdr:col>2</xdr:col>
      <xdr:colOff>639035</xdr:colOff>
      <xdr:row>22</xdr:row>
      <xdr:rowOff>117975</xdr:rowOff>
    </xdr:to>
    <xdr:sp macro="" textlink="基礎データ!N6">
      <xdr:nvSpPr>
        <xdr:cNvPr id="51" name="楕円 50">
          <a:extLst>
            <a:ext uri="{FF2B5EF4-FFF2-40B4-BE49-F238E27FC236}">
              <a16:creationId xmlns:a16="http://schemas.microsoft.com/office/drawing/2014/main" id="{CC1D9905-BA1D-4920-BD0F-6B518CFB3CDB}"/>
            </a:ext>
          </a:extLst>
        </xdr:cNvPr>
        <xdr:cNvSpPr>
          <a:spLocks noChangeAspect="1"/>
        </xdr:cNvSpPr>
      </xdr:nvSpPr>
      <xdr:spPr>
        <a:xfrm>
          <a:off x="1145003" y="4531760"/>
          <a:ext cx="1554896" cy="1422442"/>
        </a:xfrm>
        <a:prstGeom prst="ellipse">
          <a:avLst/>
        </a:prstGeom>
        <a:solidFill>
          <a:schemeClr val="accent1">
            <a:lumMod val="60000"/>
            <a:lumOff val="40000"/>
            <a:alpha val="5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fld id="{7653932A-0119-4CC9-B877-EFDEF560549E}" type="TxLink">
            <a:rPr kumimoji="1" lang="en-US" altLang="en-US" sz="1800" b="0" i="0" u="none" strike="noStrike">
              <a:solidFill>
                <a:srgbClr val="000000"/>
              </a:solidFill>
              <a:latin typeface="游ゴシック"/>
              <a:ea typeface="游ゴシック"/>
            </a:rPr>
            <a:pPr algn="ctr"/>
            <a:t>0千円</a:t>
          </a:fld>
          <a:endParaRPr kumimoji="1" lang="ja-JP" altLang="en-US" sz="1800">
            <a:solidFill>
              <a:sysClr val="windowText" lastClr="000000"/>
            </a:solidFill>
          </a:endParaRPr>
        </a:p>
      </xdr:txBody>
    </xdr:sp>
    <xdr:clientData/>
  </xdr:twoCellAnchor>
  <xdr:twoCellAnchor>
    <xdr:from>
      <xdr:col>5</xdr:col>
      <xdr:colOff>95966</xdr:colOff>
      <xdr:row>16</xdr:row>
      <xdr:rowOff>84938</xdr:rowOff>
    </xdr:from>
    <xdr:to>
      <xdr:col>6</xdr:col>
      <xdr:colOff>431069</xdr:colOff>
      <xdr:row>22</xdr:row>
      <xdr:rowOff>183298</xdr:rowOff>
    </xdr:to>
    <xdr:sp macro="" textlink="基礎データ!N8">
      <xdr:nvSpPr>
        <xdr:cNvPr id="52" name="楕円 51">
          <a:extLst>
            <a:ext uri="{FF2B5EF4-FFF2-40B4-BE49-F238E27FC236}">
              <a16:creationId xmlns:a16="http://schemas.microsoft.com/office/drawing/2014/main" id="{6B91FF6F-3826-47D0-AC9E-4C6C2A02C706}"/>
            </a:ext>
          </a:extLst>
        </xdr:cNvPr>
        <xdr:cNvSpPr>
          <a:spLocks noChangeAspect="1"/>
        </xdr:cNvSpPr>
      </xdr:nvSpPr>
      <xdr:spPr>
        <a:xfrm>
          <a:off x="6261239" y="4466438"/>
          <a:ext cx="1703239" cy="1553087"/>
        </a:xfrm>
        <a:prstGeom prst="ellipse">
          <a:avLst/>
        </a:prstGeom>
        <a:solidFill>
          <a:schemeClr val="accent1">
            <a:alpha val="56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wrap="non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fld id="{01ACDE53-6C1E-4A47-93CC-93D82800E891}" type="TxLink">
            <a:rPr kumimoji="1" lang="en-US" altLang="en-US" sz="2000" b="1" i="0" u="none" strike="noStrike">
              <a:solidFill>
                <a:srgbClr val="000000"/>
              </a:solidFill>
              <a:latin typeface="游ゴシック"/>
              <a:ea typeface="游ゴシック"/>
            </a:rPr>
            <a:pPr algn="ctr"/>
            <a:t> </a:t>
          </a:fld>
          <a:endParaRPr kumimoji="1" lang="ja-JP" altLang="en-US" sz="2000" b="1">
            <a:solidFill>
              <a:sysClr val="windowText" lastClr="000000"/>
            </a:solidFill>
          </a:endParaRPr>
        </a:p>
      </xdr:txBody>
    </xdr:sp>
    <xdr:clientData/>
  </xdr:twoCellAnchor>
  <xdr:twoCellAnchor>
    <xdr:from>
      <xdr:col>9</xdr:col>
      <xdr:colOff>1033780</xdr:colOff>
      <xdr:row>16</xdr:row>
      <xdr:rowOff>43938</xdr:rowOff>
    </xdr:from>
    <xdr:to>
      <xdr:col>11</xdr:col>
      <xdr:colOff>577373</xdr:colOff>
      <xdr:row>22</xdr:row>
      <xdr:rowOff>224298</xdr:rowOff>
    </xdr:to>
    <xdr:grpSp>
      <xdr:nvGrpSpPr>
        <xdr:cNvPr id="61" name="グループ化 60">
          <a:extLst>
            <a:ext uri="{FF2B5EF4-FFF2-40B4-BE49-F238E27FC236}">
              <a16:creationId xmlns:a16="http://schemas.microsoft.com/office/drawing/2014/main" id="{3D3E8947-70DA-4A28-91C9-883474ACA4E0}"/>
            </a:ext>
          </a:extLst>
        </xdr:cNvPr>
        <xdr:cNvGrpSpPr/>
      </xdr:nvGrpSpPr>
      <xdr:grpSpPr>
        <a:xfrm>
          <a:off x="11970721" y="4335791"/>
          <a:ext cx="2277828" cy="1592301"/>
          <a:chOff x="11365028" y="4042116"/>
          <a:chExt cx="2072606" cy="1635087"/>
        </a:xfrm>
      </xdr:grpSpPr>
      <xdr:sp macro="" textlink="">
        <xdr:nvSpPr>
          <xdr:cNvPr id="62" name="爆発: 14 pt 61">
            <a:extLst>
              <a:ext uri="{FF2B5EF4-FFF2-40B4-BE49-F238E27FC236}">
                <a16:creationId xmlns:a16="http://schemas.microsoft.com/office/drawing/2014/main" id="{DEA02C0E-357F-465B-8EB5-FB269E4E3B30}"/>
              </a:ext>
            </a:extLst>
          </xdr:cNvPr>
          <xdr:cNvSpPr/>
        </xdr:nvSpPr>
        <xdr:spPr>
          <a:xfrm rot="1283418">
            <a:off x="11365028" y="4042116"/>
            <a:ext cx="2072606" cy="1635087"/>
          </a:xfrm>
          <a:prstGeom prst="irregularSeal2">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en-US" sz="1100" b="1">
                <a:solidFill>
                  <a:schemeClr val="tx1"/>
                </a:solidFill>
              </a:rPr>
              <a:t> </a:t>
            </a:r>
          </a:p>
          <a:p>
            <a:pPr algn="l"/>
            <a:endParaRPr kumimoji="1" lang="en-US" altLang="en-US" sz="1100" b="1">
              <a:solidFill>
                <a:schemeClr val="tx1"/>
              </a:solidFill>
            </a:endParaRPr>
          </a:p>
        </xdr:txBody>
      </xdr:sp>
      <mc:AlternateContent xmlns:mc="http://schemas.openxmlformats.org/markup-compatibility/2006" xmlns:a14="http://schemas.microsoft.com/office/drawing/2010/main">
        <mc:Choice Requires="a14">
          <xdr:pic>
            <xdr:nvPicPr>
              <xdr:cNvPr id="63" name="図 62">
                <a:extLst>
                  <a:ext uri="{FF2B5EF4-FFF2-40B4-BE49-F238E27FC236}">
                    <a16:creationId xmlns:a16="http://schemas.microsoft.com/office/drawing/2014/main" id="{E83D991D-8289-4586-8D6E-2337AB42DF81}"/>
                  </a:ext>
                </a:extLst>
              </xdr:cNvPr>
              <xdr:cNvPicPr>
                <a:picLocks noChangeAspect="1" noChangeArrowheads="1"/>
                <a:extLst>
                  <a:ext uri="{84589F7E-364E-4C9E-8A38-B11213B215E9}">
                    <a14:cameraTool cellRange="基礎データ!$P$3" spid="_x0000_s68944"/>
                  </a:ext>
                </a:extLst>
              </xdr:cNvPicPr>
            </xdr:nvPicPr>
            <xdr:blipFill>
              <a:blip xmlns:r="http://schemas.openxmlformats.org/officeDocument/2006/relationships" r:embed="rId10"/>
              <a:srcRect/>
              <a:stretch>
                <a:fillRect/>
              </a:stretch>
            </xdr:blipFill>
            <xdr:spPr bwMode="auto">
              <a:xfrm>
                <a:off x="11596081" y="4457330"/>
                <a:ext cx="1468001" cy="804658"/>
              </a:xfrm>
              <a:prstGeom prst="rect">
                <a:avLst/>
              </a:prstGeom>
              <a:noFill/>
              <a:ln w="9525">
                <a:noFill/>
                <a:miter lim="800000"/>
                <a:headEnd/>
                <a:tailEnd/>
              </a:ln>
            </xdr:spPr>
          </xdr:pic>
        </mc:Choice>
        <mc:Fallback xmlns=""/>
      </mc:AlternateContent>
    </xdr:grpSp>
    <xdr:clientData/>
  </xdr:twoCellAnchor>
  <xdr:twoCellAnchor>
    <xdr:from>
      <xdr:col>7</xdr:col>
      <xdr:colOff>1169307</xdr:colOff>
      <xdr:row>5</xdr:row>
      <xdr:rowOff>133138</xdr:rowOff>
    </xdr:from>
    <xdr:to>
      <xdr:col>12</xdr:col>
      <xdr:colOff>250792</xdr:colOff>
      <xdr:row>23</xdr:row>
      <xdr:rowOff>143956</xdr:rowOff>
    </xdr:to>
    <xdr:sp macro="" textlink="">
      <xdr:nvSpPr>
        <xdr:cNvPr id="2" name="大かっこ 1">
          <a:extLst>
            <a:ext uri="{FF2B5EF4-FFF2-40B4-BE49-F238E27FC236}">
              <a16:creationId xmlns:a16="http://schemas.microsoft.com/office/drawing/2014/main" id="{6D3E69A8-EACF-4749-9340-DC2D9DC8743C}"/>
            </a:ext>
          </a:extLst>
        </xdr:cNvPr>
        <xdr:cNvSpPr/>
      </xdr:nvSpPr>
      <xdr:spPr>
        <a:xfrm>
          <a:off x="9395443" y="1674456"/>
          <a:ext cx="5922167" cy="4548182"/>
        </a:xfrm>
        <a:prstGeom prst="bracketPair">
          <a:avLst>
            <a:gd name="adj" fmla="val 10724"/>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1319786</xdr:colOff>
      <xdr:row>21</xdr:row>
      <xdr:rowOff>237691</xdr:rowOff>
    </xdr:from>
    <xdr:to>
      <xdr:col>12</xdr:col>
      <xdr:colOff>261113</xdr:colOff>
      <xdr:row>23</xdr:row>
      <xdr:rowOff>69272</xdr:rowOff>
    </xdr:to>
    <xdr:sp macro="" textlink="">
      <xdr:nvSpPr>
        <xdr:cNvPr id="64" name="テキスト ボックス 63">
          <a:extLst>
            <a:ext uri="{FF2B5EF4-FFF2-40B4-BE49-F238E27FC236}">
              <a16:creationId xmlns:a16="http://schemas.microsoft.com/office/drawing/2014/main" id="{7C908630-D3F8-4DE3-B638-68CFC1822D1E}"/>
            </a:ext>
          </a:extLst>
        </xdr:cNvPr>
        <xdr:cNvSpPr txBox="1"/>
      </xdr:nvSpPr>
      <xdr:spPr>
        <a:xfrm>
          <a:off x="9552107" y="5871048"/>
          <a:ext cx="5812935" cy="321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b="0">
              <a:latin typeface="+mn-ea"/>
              <a:ea typeface="+mn-ea"/>
            </a:rPr>
            <a:t>※</a:t>
          </a:r>
          <a:r>
            <a:rPr kumimoji="1" lang="ja-JP" altLang="en-US" sz="1200" b="0">
              <a:latin typeface="+mn-ea"/>
              <a:ea typeface="+mn-ea"/>
            </a:rPr>
            <a:t>全出資者が全部の放棄をした場合の、医療法人へのみなし贈与税額の試算です。</a:t>
          </a:r>
          <a:endParaRPr kumimoji="1" lang="en-US" altLang="ja-JP" sz="1200" b="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5</xdr:row>
      <xdr:rowOff>80490</xdr:rowOff>
    </xdr:from>
    <xdr:to>
      <xdr:col>4</xdr:col>
      <xdr:colOff>1008507</xdr:colOff>
      <xdr:row>21</xdr:row>
      <xdr:rowOff>181551</xdr:rowOff>
    </xdr:to>
    <xdr:sp macro="" textlink="">
      <xdr:nvSpPr>
        <xdr:cNvPr id="4" name="矢印: 下 3">
          <a:extLst>
            <a:ext uri="{FF2B5EF4-FFF2-40B4-BE49-F238E27FC236}">
              <a16:creationId xmlns:a16="http://schemas.microsoft.com/office/drawing/2014/main" id="{6DE9D00D-110F-4914-A569-34272C56F698}"/>
            </a:ext>
          </a:extLst>
        </xdr:cNvPr>
        <xdr:cNvSpPr/>
      </xdr:nvSpPr>
      <xdr:spPr>
        <a:xfrm>
          <a:off x="5476875" y="1290165"/>
          <a:ext cx="484632" cy="394916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523875</xdr:colOff>
      <xdr:row>5</xdr:row>
      <xdr:rowOff>114300</xdr:rowOff>
    </xdr:from>
    <xdr:to>
      <xdr:col>3</xdr:col>
      <xdr:colOff>1008507</xdr:colOff>
      <xdr:row>9</xdr:row>
      <xdr:rowOff>157267</xdr:rowOff>
    </xdr:to>
    <xdr:sp macro="" textlink="">
      <xdr:nvSpPr>
        <xdr:cNvPr id="5" name="矢印: 下 4">
          <a:extLst>
            <a:ext uri="{FF2B5EF4-FFF2-40B4-BE49-F238E27FC236}">
              <a16:creationId xmlns:a16="http://schemas.microsoft.com/office/drawing/2014/main" id="{16E5FD5B-20E0-464A-A9C0-D0441AB69A25}"/>
            </a:ext>
          </a:extLst>
        </xdr:cNvPr>
        <xdr:cNvSpPr/>
      </xdr:nvSpPr>
      <xdr:spPr>
        <a:xfrm>
          <a:off x="4000500" y="1323975"/>
          <a:ext cx="484632" cy="9954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523875</xdr:colOff>
      <xdr:row>18</xdr:row>
      <xdr:rowOff>85725</xdr:rowOff>
    </xdr:from>
    <xdr:to>
      <xdr:col>3</xdr:col>
      <xdr:colOff>1008507</xdr:colOff>
      <xdr:row>22</xdr:row>
      <xdr:rowOff>128692</xdr:rowOff>
    </xdr:to>
    <xdr:sp macro="" textlink="">
      <xdr:nvSpPr>
        <xdr:cNvPr id="6" name="矢印: 下 5">
          <a:extLst>
            <a:ext uri="{FF2B5EF4-FFF2-40B4-BE49-F238E27FC236}">
              <a16:creationId xmlns:a16="http://schemas.microsoft.com/office/drawing/2014/main" id="{600CD6F9-1595-4A9D-B9CC-E26853B2EBC5}"/>
            </a:ext>
          </a:extLst>
        </xdr:cNvPr>
        <xdr:cNvSpPr/>
      </xdr:nvSpPr>
      <xdr:spPr>
        <a:xfrm>
          <a:off x="4000500" y="4429125"/>
          <a:ext cx="484632" cy="9954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1000125</xdr:colOff>
      <xdr:row>5</xdr:row>
      <xdr:rowOff>85725</xdr:rowOff>
    </xdr:from>
    <xdr:to>
      <xdr:col>12</xdr:col>
      <xdr:colOff>246507</xdr:colOff>
      <xdr:row>9</xdr:row>
      <xdr:rowOff>128692</xdr:rowOff>
    </xdr:to>
    <xdr:sp macro="" textlink="">
      <xdr:nvSpPr>
        <xdr:cNvPr id="7" name="矢印: 下 6">
          <a:extLst>
            <a:ext uri="{FF2B5EF4-FFF2-40B4-BE49-F238E27FC236}">
              <a16:creationId xmlns:a16="http://schemas.microsoft.com/office/drawing/2014/main" id="{CD8742E6-CE6A-4DD8-A333-A19138C0CC53}"/>
            </a:ext>
          </a:extLst>
        </xdr:cNvPr>
        <xdr:cNvSpPr/>
      </xdr:nvSpPr>
      <xdr:spPr>
        <a:xfrm>
          <a:off x="12487275" y="1628775"/>
          <a:ext cx="484632" cy="99546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1240</xdr:colOff>
      <xdr:row>8</xdr:row>
      <xdr:rowOff>114077</xdr:rowOff>
    </xdr:from>
    <xdr:to>
      <xdr:col>10</xdr:col>
      <xdr:colOff>1865661</xdr:colOff>
      <xdr:row>8</xdr:row>
      <xdr:rowOff>114524</xdr:rowOff>
    </xdr:to>
    <xdr:cxnSp macro="">
      <xdr:nvCxnSpPr>
        <xdr:cNvPr id="3" name="直線コネクタ 2">
          <a:extLst>
            <a:ext uri="{FF2B5EF4-FFF2-40B4-BE49-F238E27FC236}">
              <a16:creationId xmlns:a16="http://schemas.microsoft.com/office/drawing/2014/main" id="{3B378A1F-D975-4DC8-9F54-F323A043C148}"/>
            </a:ext>
          </a:extLst>
        </xdr:cNvPr>
        <xdr:cNvCxnSpPr/>
      </xdr:nvCxnSpPr>
      <xdr:spPr>
        <a:xfrm>
          <a:off x="9573865" y="2019077"/>
          <a:ext cx="1864421" cy="4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720377</xdr:colOff>
      <xdr:row>4</xdr:row>
      <xdr:rowOff>133127</xdr:rowOff>
    </xdr:from>
    <xdr:to>
      <xdr:col>11</xdr:col>
      <xdr:colOff>3523</xdr:colOff>
      <xdr:row>4</xdr:row>
      <xdr:rowOff>133574</xdr:rowOff>
    </xdr:to>
    <xdr:cxnSp macro="">
      <xdr:nvCxnSpPr>
        <xdr:cNvPr id="4" name="直線コネクタ 3">
          <a:extLst>
            <a:ext uri="{FF2B5EF4-FFF2-40B4-BE49-F238E27FC236}">
              <a16:creationId xmlns:a16="http://schemas.microsoft.com/office/drawing/2014/main" id="{658F725D-F660-4C3E-958B-FE4B5AAC716B}"/>
            </a:ext>
          </a:extLst>
        </xdr:cNvPr>
        <xdr:cNvCxnSpPr/>
      </xdr:nvCxnSpPr>
      <xdr:spPr>
        <a:xfrm>
          <a:off x="9569102" y="1085627"/>
          <a:ext cx="1873946" cy="4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445434</xdr:colOff>
      <xdr:row>25</xdr:row>
      <xdr:rowOff>16721</xdr:rowOff>
    </xdr:from>
    <xdr:to>
      <xdr:col>7</xdr:col>
      <xdr:colOff>930066</xdr:colOff>
      <xdr:row>28</xdr:row>
      <xdr:rowOff>148393</xdr:rowOff>
    </xdr:to>
    <xdr:sp macro="" textlink="">
      <xdr:nvSpPr>
        <xdr:cNvPr id="5" name="矢印: 下 4">
          <a:extLst>
            <a:ext uri="{FF2B5EF4-FFF2-40B4-BE49-F238E27FC236}">
              <a16:creationId xmlns:a16="http://schemas.microsoft.com/office/drawing/2014/main" id="{E51AA470-8B00-4F59-9A40-437B6301B36C}"/>
            </a:ext>
          </a:extLst>
        </xdr:cNvPr>
        <xdr:cNvSpPr/>
      </xdr:nvSpPr>
      <xdr:spPr>
        <a:xfrm>
          <a:off x="9376522" y="7132456"/>
          <a:ext cx="484632" cy="87126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601097</xdr:colOff>
      <xdr:row>2</xdr:row>
      <xdr:rowOff>175847</xdr:rowOff>
    </xdr:from>
    <xdr:to>
      <xdr:col>7</xdr:col>
      <xdr:colOff>241023</xdr:colOff>
      <xdr:row>10</xdr:row>
      <xdr:rowOff>52754</xdr:rowOff>
    </xdr:to>
    <xdr:sp macro="" textlink="">
      <xdr:nvSpPr>
        <xdr:cNvPr id="2" name="大かっこ 1">
          <a:extLst>
            <a:ext uri="{FF2B5EF4-FFF2-40B4-BE49-F238E27FC236}">
              <a16:creationId xmlns:a16="http://schemas.microsoft.com/office/drawing/2014/main" id="{E1B95105-6C7A-48A2-95C0-FA829CE13D87}"/>
            </a:ext>
          </a:extLst>
        </xdr:cNvPr>
        <xdr:cNvSpPr/>
      </xdr:nvSpPr>
      <xdr:spPr>
        <a:xfrm>
          <a:off x="3783568" y="646494"/>
          <a:ext cx="4749808" cy="1849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651713</xdr:colOff>
      <xdr:row>16</xdr:row>
      <xdr:rowOff>44989</xdr:rowOff>
    </xdr:from>
    <xdr:to>
      <xdr:col>8</xdr:col>
      <xdr:colOff>1119525</xdr:colOff>
      <xdr:row>21</xdr:row>
      <xdr:rowOff>193137</xdr:rowOff>
    </xdr:to>
    <xdr:sp macro="" textlink="">
      <xdr:nvSpPr>
        <xdr:cNvPr id="6" name="大かっこ 5">
          <a:extLst>
            <a:ext uri="{FF2B5EF4-FFF2-40B4-BE49-F238E27FC236}">
              <a16:creationId xmlns:a16="http://schemas.microsoft.com/office/drawing/2014/main" id="{48C59D93-FBF4-4734-A821-62D6695207B6}"/>
            </a:ext>
          </a:extLst>
        </xdr:cNvPr>
        <xdr:cNvSpPr/>
      </xdr:nvSpPr>
      <xdr:spPr>
        <a:xfrm>
          <a:off x="3842588" y="3378739"/>
          <a:ext cx="6239962" cy="1338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409575</xdr:colOff>
      <xdr:row>16</xdr:row>
      <xdr:rowOff>47625</xdr:rowOff>
    </xdr:from>
    <xdr:to>
      <xdr:col>8</xdr:col>
      <xdr:colOff>1420350</xdr:colOff>
      <xdr:row>21</xdr:row>
      <xdr:rowOff>196200</xdr:rowOff>
    </xdr:to>
    <xdr:sp macro="" textlink="">
      <xdr:nvSpPr>
        <xdr:cNvPr id="7" name="中かっこ 6">
          <a:extLst>
            <a:ext uri="{FF2B5EF4-FFF2-40B4-BE49-F238E27FC236}">
              <a16:creationId xmlns:a16="http://schemas.microsoft.com/office/drawing/2014/main" id="{FAF9026A-BED9-4EAE-8AFC-B8E5FE548F84}"/>
            </a:ext>
          </a:extLst>
        </xdr:cNvPr>
        <xdr:cNvSpPr/>
      </xdr:nvSpPr>
      <xdr:spPr>
        <a:xfrm>
          <a:off x="1095375" y="3381375"/>
          <a:ext cx="9288000" cy="1339200"/>
        </a:xfrm>
        <a:prstGeom prst="brace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231322</xdr:colOff>
      <xdr:row>4</xdr:row>
      <xdr:rowOff>544285</xdr:rowOff>
    </xdr:from>
    <xdr:to>
      <xdr:col>13</xdr:col>
      <xdr:colOff>525928</xdr:colOff>
      <xdr:row>6</xdr:row>
      <xdr:rowOff>539060</xdr:rowOff>
    </xdr:to>
    <xdr:sp macro="" textlink="">
      <xdr:nvSpPr>
        <xdr:cNvPr id="2" name="矢印: 右 1">
          <a:extLst>
            <a:ext uri="{FF2B5EF4-FFF2-40B4-BE49-F238E27FC236}">
              <a16:creationId xmlns:a16="http://schemas.microsoft.com/office/drawing/2014/main" id="{4D73866E-AAB0-4E59-A725-80CBECAD9917}"/>
            </a:ext>
          </a:extLst>
        </xdr:cNvPr>
        <xdr:cNvSpPr/>
      </xdr:nvSpPr>
      <xdr:spPr>
        <a:xfrm>
          <a:off x="12913179" y="2285999"/>
          <a:ext cx="974963" cy="1246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tint="0.59999389629810485"/>
  </sheetPr>
  <dimension ref="A1:H71"/>
  <sheetViews>
    <sheetView showGridLines="0" tabSelected="1" view="pageBreakPreview" zoomScale="70" zoomScaleNormal="70" zoomScaleSheetLayoutView="70" workbookViewId="0">
      <selection sqref="A1:H1"/>
    </sheetView>
  </sheetViews>
  <sheetFormatPr defaultRowHeight="18.75" x14ac:dyDescent="0.4"/>
  <cols>
    <col min="1" max="1" width="3.5" customWidth="1"/>
    <col min="2" max="2" width="10.125" customWidth="1"/>
    <col min="3" max="3" width="47.875" customWidth="1"/>
    <col min="4" max="6" width="21.125" customWidth="1"/>
    <col min="7" max="7" width="5.875" customWidth="1"/>
    <col min="8" max="8" width="80.75" customWidth="1"/>
    <col min="9" max="9" width="67.375" customWidth="1"/>
  </cols>
  <sheetData>
    <row r="1" spans="1:8" ht="45.75" x14ac:dyDescent="0.4">
      <c r="A1" s="119" t="s">
        <v>218</v>
      </c>
      <c r="B1" s="119"/>
      <c r="C1" s="119"/>
      <c r="D1" s="119"/>
      <c r="E1" s="119"/>
      <c r="F1" s="119"/>
      <c r="G1" s="119"/>
      <c r="H1" s="119"/>
    </row>
    <row r="14" spans="1:8" ht="6" customHeight="1" x14ac:dyDescent="0.4"/>
    <row r="47" spans="1:8" ht="39.75" customHeight="1" x14ac:dyDescent="0.4">
      <c r="A47" s="104"/>
      <c r="B47" s="104"/>
      <c r="C47" s="104"/>
      <c r="D47" s="104"/>
      <c r="E47" s="104"/>
      <c r="F47" s="104"/>
      <c r="G47" s="104"/>
      <c r="H47" s="104"/>
    </row>
    <row r="48" spans="1:8" ht="30" x14ac:dyDescent="0.4">
      <c r="A48" s="79" t="s">
        <v>229</v>
      </c>
      <c r="B48" s="77"/>
      <c r="C48" s="23"/>
    </row>
    <row r="49" spans="1:8" ht="24.75" customHeight="1" x14ac:dyDescent="0.4">
      <c r="B49" s="117" t="s">
        <v>228</v>
      </c>
      <c r="C49" s="118"/>
      <c r="D49" s="117" t="s">
        <v>30</v>
      </c>
      <c r="E49" s="118"/>
      <c r="G49" s="81"/>
      <c r="H49" s="75" t="s">
        <v>246</v>
      </c>
    </row>
    <row r="50" spans="1:8" ht="52.5" customHeight="1" x14ac:dyDescent="0.4">
      <c r="B50" s="125" t="s">
        <v>250</v>
      </c>
      <c r="C50" s="126"/>
      <c r="D50" s="144"/>
      <c r="E50" s="145"/>
    </row>
    <row r="51" spans="1:8" ht="52.5" customHeight="1" x14ac:dyDescent="0.4">
      <c r="B51" s="127" t="s">
        <v>83</v>
      </c>
      <c r="C51" s="128"/>
      <c r="D51" s="142"/>
      <c r="E51" s="143"/>
    </row>
    <row r="52" spans="1:8" ht="52.5" customHeight="1" x14ac:dyDescent="0.4">
      <c r="B52" s="129" t="s">
        <v>233</v>
      </c>
      <c r="C52" s="130"/>
      <c r="D52" s="142"/>
      <c r="E52" s="143"/>
    </row>
    <row r="53" spans="1:8" ht="24" customHeight="1" x14ac:dyDescent="0.4"/>
    <row r="54" spans="1:8" ht="30" x14ac:dyDescent="0.4">
      <c r="A54" s="79" t="s">
        <v>234</v>
      </c>
      <c r="C54" s="23"/>
      <c r="F54" s="106" t="s">
        <v>231</v>
      </c>
    </row>
    <row r="55" spans="1:8" ht="19.5" customHeight="1" x14ac:dyDescent="0.4">
      <c r="B55" s="137" t="s">
        <v>228</v>
      </c>
      <c r="C55" s="138"/>
      <c r="D55" s="123" t="s">
        <v>30</v>
      </c>
      <c r="E55" s="123"/>
      <c r="F55" s="123"/>
      <c r="G55" s="78"/>
      <c r="H55" s="122" t="s">
        <v>91</v>
      </c>
    </row>
    <row r="56" spans="1:8" ht="19.5" customHeight="1" x14ac:dyDescent="0.4">
      <c r="B56" s="139"/>
      <c r="C56" s="140"/>
      <c r="D56" s="72" t="s">
        <v>39</v>
      </c>
      <c r="E56" s="72" t="s">
        <v>40</v>
      </c>
      <c r="F56" s="72" t="s">
        <v>41</v>
      </c>
      <c r="G56" s="78"/>
      <c r="H56" s="122"/>
    </row>
    <row r="57" spans="1:8" ht="93" customHeight="1" x14ac:dyDescent="0.4">
      <c r="B57" s="135" t="s">
        <v>232</v>
      </c>
      <c r="C57" s="136"/>
      <c r="D57" s="114"/>
      <c r="E57" s="114"/>
      <c r="F57" s="70" t="s">
        <v>8</v>
      </c>
      <c r="H57" s="76" t="s">
        <v>243</v>
      </c>
    </row>
    <row r="58" spans="1:8" ht="93" customHeight="1" x14ac:dyDescent="0.4">
      <c r="B58" s="133" t="s">
        <v>245</v>
      </c>
      <c r="C58" s="134"/>
      <c r="D58" s="114" t="str">
        <f>IF(D57=0,"",D57)</f>
        <v/>
      </c>
      <c r="E58" s="70" t="s">
        <v>8</v>
      </c>
      <c r="F58" s="70" t="s">
        <v>8</v>
      </c>
      <c r="H58" s="76" t="s">
        <v>242</v>
      </c>
    </row>
    <row r="59" spans="1:8" ht="93" customHeight="1" x14ac:dyDescent="0.4">
      <c r="B59" s="131" t="s">
        <v>94</v>
      </c>
      <c r="C59" s="132"/>
      <c r="D59" s="114"/>
      <c r="E59" s="114"/>
      <c r="F59" s="114"/>
      <c r="H59" s="76" t="s">
        <v>241</v>
      </c>
    </row>
    <row r="60" spans="1:8" ht="105" customHeight="1" x14ac:dyDescent="0.4">
      <c r="B60" s="141" t="s">
        <v>244</v>
      </c>
      <c r="C60" s="141"/>
      <c r="D60" s="141"/>
      <c r="E60" s="141"/>
      <c r="F60" s="141"/>
      <c r="H60" s="80" t="s">
        <v>240</v>
      </c>
    </row>
    <row r="62" spans="1:8" ht="30" x14ac:dyDescent="0.4">
      <c r="A62" s="79" t="s">
        <v>235</v>
      </c>
      <c r="B62" s="77"/>
      <c r="C62" s="23"/>
      <c r="D62" s="106"/>
      <c r="H62" s="79"/>
    </row>
    <row r="63" spans="1:8" ht="21.75" customHeight="1" x14ac:dyDescent="0.4">
      <c r="A63" s="79"/>
      <c r="B63" s="77"/>
      <c r="C63" s="23"/>
      <c r="D63" s="106" t="s">
        <v>231</v>
      </c>
      <c r="H63" s="79"/>
    </row>
    <row r="64" spans="1:8" ht="24.75" customHeight="1" x14ac:dyDescent="0.4">
      <c r="B64" s="72" t="s">
        <v>28</v>
      </c>
      <c r="C64" s="72" t="s">
        <v>84</v>
      </c>
      <c r="D64" s="72" t="s">
        <v>17</v>
      </c>
    </row>
    <row r="65" spans="2:8" ht="24.75" customHeight="1" x14ac:dyDescent="0.4">
      <c r="B65" s="74">
        <v>1</v>
      </c>
      <c r="C65" s="115"/>
      <c r="D65" s="114"/>
    </row>
    <row r="66" spans="2:8" ht="24.75" customHeight="1" x14ac:dyDescent="0.4">
      <c r="B66" s="74">
        <v>2</v>
      </c>
      <c r="C66" s="115"/>
      <c r="D66" s="114"/>
    </row>
    <row r="67" spans="2:8" ht="24.75" customHeight="1" x14ac:dyDescent="0.4">
      <c r="B67" s="74">
        <v>3</v>
      </c>
      <c r="C67" s="115"/>
      <c r="D67" s="114"/>
      <c r="E67" s="120"/>
      <c r="F67" s="121"/>
      <c r="G67" s="121"/>
    </row>
    <row r="68" spans="2:8" ht="24.75" customHeight="1" x14ac:dyDescent="0.4">
      <c r="B68" s="74">
        <v>4</v>
      </c>
      <c r="C68" s="115"/>
      <c r="D68" s="114"/>
      <c r="E68" s="120"/>
      <c r="F68" s="121"/>
      <c r="G68" s="121"/>
      <c r="H68" s="102"/>
    </row>
    <row r="69" spans="2:8" ht="24.75" customHeight="1" x14ac:dyDescent="0.4">
      <c r="B69" s="74">
        <v>5</v>
      </c>
      <c r="C69" s="115"/>
      <c r="D69" s="116"/>
      <c r="E69" s="120"/>
      <c r="F69" s="121"/>
      <c r="G69" s="121"/>
      <c r="H69" s="102"/>
    </row>
    <row r="70" spans="2:8" ht="24.75" customHeight="1" x14ac:dyDescent="0.4">
      <c r="B70" s="117" t="s">
        <v>20</v>
      </c>
      <c r="C70" s="118"/>
      <c r="D70" s="73">
        <f>SUM(D65:D69)</f>
        <v>0</v>
      </c>
    </row>
    <row r="71" spans="2:8" ht="54" customHeight="1" x14ac:dyDescent="0.4">
      <c r="B71" s="124" t="s">
        <v>239</v>
      </c>
      <c r="C71" s="124"/>
      <c r="D71" s="124"/>
      <c r="E71" s="124"/>
      <c r="F71" s="124"/>
    </row>
  </sheetData>
  <sheetProtection algorithmName="SHA-512" hashValue="k4y8YZqYFE50T+GfEQcgCQp63uRuvod+nYwrzPBDajatbbWdBax0AaCl9v0zmUAFuJDXFYqz7twwI5/1TODIxg==" saltValue="7qbFO8ZfzhC0ClzdsmLBCQ==" spinCount="100000" sheet="1" objects="1" scenarios="1"/>
  <mergeCells count="19">
    <mergeCell ref="B71:F71"/>
    <mergeCell ref="B70:C70"/>
    <mergeCell ref="B50:C50"/>
    <mergeCell ref="B51:C51"/>
    <mergeCell ref="B52:C52"/>
    <mergeCell ref="B59:C59"/>
    <mergeCell ref="B58:C58"/>
    <mergeCell ref="B57:C57"/>
    <mergeCell ref="B55:C56"/>
    <mergeCell ref="B60:F60"/>
    <mergeCell ref="D52:E52"/>
    <mergeCell ref="D51:E51"/>
    <mergeCell ref="D50:E50"/>
    <mergeCell ref="D49:E49"/>
    <mergeCell ref="A1:H1"/>
    <mergeCell ref="E67:G69"/>
    <mergeCell ref="H55:H56"/>
    <mergeCell ref="D55:F55"/>
    <mergeCell ref="B49:C49"/>
  </mergeCells>
  <phoneticPr fontId="2"/>
  <pageMargins left="0.70866141732283472" right="0.23622047244094491" top="0.55118110236220474" bottom="0.51181102362204722" header="0.31496062992125984" footer="0.31496062992125984"/>
  <pageSetup paperSize="9" scale="53" fitToHeight="2" orientation="landscape" r:id="rId1"/>
  <headerFooter>
    <oddFooter>&amp;C&amp;P</oddFooter>
  </headerFooter>
  <rowBreaks count="1" manualBreakCount="1">
    <brk id="47" max="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7D6F49B-5B0A-4FE7-B8F8-7020B1D0005E}">
          <x14:formula1>
            <xm:f>基礎データ!H11:H15</xm:f>
          </x14:formula1>
          <xm:sqref>D50:E50</xm:sqref>
        </x14:dataValidation>
        <x14:dataValidation type="list" allowBlank="1" showInputMessage="1" showErrorMessage="1" xr:uid="{C77EFEC7-FA3A-49DD-91E5-494213DB8117}">
          <x14:formula1>
            <xm:f>基礎データ!H19:H23</xm:f>
          </x14:formula1>
          <xm:sqref>D51:E51</xm:sqref>
        </x14:dataValidation>
        <x14:dataValidation type="list" allowBlank="1" showInputMessage="1" showErrorMessage="1" xr:uid="{093DD4A9-FF78-4297-9F99-6B267C61DE9D}">
          <x14:formula1>
            <xm:f>基礎データ!H27:H31</xm:f>
          </x14:formula1>
          <xm:sqref>D52:E52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F0A66-3864-4E17-9A61-2C4216D723C0}">
  <sheetPr codeName="Sheet14"/>
  <dimension ref="A1:R71"/>
  <sheetViews>
    <sheetView showGridLines="0" view="pageBreakPreview" zoomScale="85" zoomScaleNormal="85" zoomScaleSheetLayoutView="85" workbookViewId="0">
      <selection sqref="A1:L1"/>
    </sheetView>
  </sheetViews>
  <sheetFormatPr defaultRowHeight="18.75" x14ac:dyDescent="0.4"/>
  <cols>
    <col min="2" max="6" width="18" customWidth="1"/>
    <col min="8" max="12" width="18" customWidth="1"/>
    <col min="13" max="13" width="7.5" customWidth="1"/>
    <col min="15" max="16" width="9" customWidth="1"/>
    <col min="17" max="17" width="6.375" customWidth="1"/>
    <col min="18" max="18" width="27.75" customWidth="1"/>
  </cols>
  <sheetData>
    <row r="1" spans="1:18" ht="45.75" x14ac:dyDescent="0.4">
      <c r="A1" s="119" t="s">
        <v>219</v>
      </c>
      <c r="B1" s="119"/>
      <c r="C1" s="119"/>
      <c r="D1" s="119"/>
      <c r="E1" s="119"/>
      <c r="F1" s="119"/>
      <c r="G1" s="119"/>
      <c r="H1" s="119"/>
      <c r="I1" s="119"/>
      <c r="J1" s="119"/>
      <c r="K1" s="119"/>
      <c r="L1" s="119"/>
      <c r="M1" s="103"/>
      <c r="N1" s="103"/>
      <c r="O1" s="103"/>
      <c r="P1" s="103"/>
      <c r="Q1" s="103"/>
      <c r="R1" s="103"/>
    </row>
    <row r="4" spans="1:18" ht="30" x14ac:dyDescent="0.4">
      <c r="A4" s="79" t="s">
        <v>249</v>
      </c>
    </row>
    <row r="5" spans="1:18" ht="6.75" customHeight="1" x14ac:dyDescent="0.4"/>
    <row r="7" spans="1:18" ht="33" x14ac:dyDescent="0.4">
      <c r="C7" s="147"/>
      <c r="D7" s="147"/>
      <c r="G7" s="57"/>
      <c r="H7" s="98"/>
      <c r="I7" s="98"/>
      <c r="N7" s="97"/>
      <c r="O7" s="97"/>
    </row>
    <row r="25" spans="1:17" ht="30" x14ac:dyDescent="0.4">
      <c r="A25" s="79" t="s">
        <v>93</v>
      </c>
      <c r="B25" s="79"/>
      <c r="G25" s="79" t="s">
        <v>95</v>
      </c>
      <c r="M25" s="68"/>
      <c r="N25" s="68"/>
      <c r="O25" s="68"/>
      <c r="P25" s="68"/>
      <c r="Q25" s="68"/>
    </row>
    <row r="45" spans="8:8" ht="19.5" x14ac:dyDescent="0.4">
      <c r="H45" s="113" t="str">
        <f>"※類似業種の株価等は、"&amp;基礎データ!G3&amp;基礎データ!H3&amp;"年"&amp;基礎データ!I3&amp;""&amp;"月時点の公表データを採用しています。"</f>
        <v>※類似業種の株価等は、令和5年6月時点の公表データを採用しています。</v>
      </c>
    </row>
    <row r="49" spans="1:12" ht="35.25" x14ac:dyDescent="0.4">
      <c r="A49" s="79" t="s">
        <v>96</v>
      </c>
      <c r="B49" s="101"/>
    </row>
    <row r="50" spans="1:12" ht="24" customHeight="1" x14ac:dyDescent="0.4">
      <c r="B50" s="99" t="s">
        <v>97</v>
      </c>
    </row>
    <row r="51" spans="1:12" ht="16.5" customHeight="1" x14ac:dyDescent="0.4">
      <c r="B51" s="100"/>
    </row>
    <row r="52" spans="1:12" ht="24" x14ac:dyDescent="0.4">
      <c r="B52" s="75" t="s">
        <v>98</v>
      </c>
      <c r="H52" s="75" t="s">
        <v>99</v>
      </c>
    </row>
    <row r="53" spans="1:12" ht="35.25" customHeight="1" x14ac:dyDescent="0.4">
      <c r="B53" s="146" t="s">
        <v>100</v>
      </c>
      <c r="C53" s="146" t="s">
        <v>101</v>
      </c>
      <c r="D53" s="146"/>
      <c r="E53" s="146"/>
      <c r="F53" s="146"/>
      <c r="H53" s="146" t="s">
        <v>100</v>
      </c>
      <c r="I53" s="146" t="s">
        <v>101</v>
      </c>
      <c r="J53" s="146"/>
      <c r="K53" s="146"/>
      <c r="L53" s="146"/>
    </row>
    <row r="54" spans="1:12" ht="35.25" customHeight="1" x14ac:dyDescent="0.4">
      <c r="B54" s="146"/>
      <c r="C54" s="71" t="s">
        <v>102</v>
      </c>
      <c r="D54" s="71" t="s">
        <v>103</v>
      </c>
      <c r="E54" s="71" t="s">
        <v>104</v>
      </c>
      <c r="F54" s="71" t="s">
        <v>105</v>
      </c>
      <c r="H54" s="146"/>
      <c r="I54" s="71" t="s">
        <v>106</v>
      </c>
      <c r="J54" s="71" t="s">
        <v>107</v>
      </c>
      <c r="K54" s="71" t="s">
        <v>108</v>
      </c>
      <c r="L54" s="71" t="s">
        <v>109</v>
      </c>
    </row>
    <row r="55" spans="1:12" s="78" customFormat="1" ht="39" customHeight="1" x14ac:dyDescent="0.4">
      <c r="B55" s="71" t="s">
        <v>110</v>
      </c>
      <c r="C55" s="105" t="s">
        <v>111</v>
      </c>
      <c r="D55" s="105" t="s">
        <v>112</v>
      </c>
      <c r="E55" s="105" t="s">
        <v>113</v>
      </c>
      <c r="F55" s="105" t="s">
        <v>113</v>
      </c>
      <c r="H55" s="71" t="s">
        <v>110</v>
      </c>
      <c r="I55" s="105" t="s">
        <v>114</v>
      </c>
      <c r="J55" s="105" t="s">
        <v>115</v>
      </c>
      <c r="K55" s="105" t="s">
        <v>116</v>
      </c>
      <c r="L55" s="105" t="s">
        <v>113</v>
      </c>
    </row>
    <row r="56" spans="1:12" s="78" customFormat="1" ht="39" customHeight="1" x14ac:dyDescent="0.4">
      <c r="B56" s="71" t="s">
        <v>117</v>
      </c>
      <c r="C56" s="105" t="s">
        <v>118</v>
      </c>
      <c r="D56" s="105" t="s">
        <v>119</v>
      </c>
      <c r="E56" s="105" t="s">
        <v>120</v>
      </c>
      <c r="F56" s="105" t="s">
        <v>121</v>
      </c>
      <c r="H56" s="71" t="s">
        <v>117</v>
      </c>
      <c r="I56" s="105" t="s">
        <v>122</v>
      </c>
      <c r="J56" s="105" t="s">
        <v>123</v>
      </c>
      <c r="K56" s="105" t="s">
        <v>124</v>
      </c>
      <c r="L56" s="105" t="s">
        <v>125</v>
      </c>
    </row>
    <row r="57" spans="1:12" s="78" customFormat="1" ht="39" customHeight="1" x14ac:dyDescent="0.4">
      <c r="B57" s="71" t="s">
        <v>126</v>
      </c>
      <c r="C57" s="105" t="s">
        <v>127</v>
      </c>
      <c r="D57" s="105" t="s">
        <v>128</v>
      </c>
      <c r="E57" s="105" t="s">
        <v>129</v>
      </c>
      <c r="F57" s="105" t="s">
        <v>130</v>
      </c>
      <c r="H57" s="71" t="s">
        <v>126</v>
      </c>
      <c r="I57" s="105" t="s">
        <v>131</v>
      </c>
      <c r="J57" s="105" t="s">
        <v>132</v>
      </c>
      <c r="K57" s="105" t="s">
        <v>133</v>
      </c>
      <c r="L57" s="105" t="s">
        <v>134</v>
      </c>
    </row>
    <row r="58" spans="1:12" s="78" customFormat="1" ht="39" customHeight="1" x14ac:dyDescent="0.4">
      <c r="B58" s="71" t="s">
        <v>136</v>
      </c>
      <c r="C58" s="105" t="s">
        <v>137</v>
      </c>
      <c r="D58" s="105" t="s">
        <v>138</v>
      </c>
      <c r="E58" s="105" t="s">
        <v>139</v>
      </c>
      <c r="F58" s="105" t="s">
        <v>140</v>
      </c>
      <c r="H58" s="71" t="s">
        <v>136</v>
      </c>
      <c r="I58" s="105" t="s">
        <v>141</v>
      </c>
      <c r="J58" s="105" t="s">
        <v>142</v>
      </c>
      <c r="K58" s="105" t="s">
        <v>143</v>
      </c>
      <c r="L58" s="105" t="s">
        <v>144</v>
      </c>
    </row>
    <row r="59" spans="1:12" s="78" customFormat="1" ht="39" customHeight="1" x14ac:dyDescent="0.4">
      <c r="B59" s="71" t="s">
        <v>145</v>
      </c>
      <c r="C59" s="105" t="s">
        <v>146</v>
      </c>
      <c r="D59" s="105" t="s">
        <v>135</v>
      </c>
      <c r="E59" s="105" t="s">
        <v>147</v>
      </c>
      <c r="F59" s="105" t="s">
        <v>148</v>
      </c>
      <c r="H59" s="71" t="s">
        <v>145</v>
      </c>
      <c r="I59" s="105" t="s">
        <v>149</v>
      </c>
      <c r="J59" s="105" t="s">
        <v>150</v>
      </c>
      <c r="K59" s="105" t="s">
        <v>151</v>
      </c>
      <c r="L59" s="105" t="s">
        <v>152</v>
      </c>
    </row>
    <row r="60" spans="1:12" s="78" customFormat="1" ht="39" customHeight="1" x14ac:dyDescent="0.4">
      <c r="B60" s="71" t="s">
        <v>153</v>
      </c>
      <c r="C60" s="105" t="s">
        <v>151</v>
      </c>
      <c r="D60" s="105" t="s">
        <v>154</v>
      </c>
      <c r="E60" s="105" t="s">
        <v>155</v>
      </c>
      <c r="F60" s="105" t="s">
        <v>156</v>
      </c>
      <c r="H60" s="71" t="s">
        <v>153</v>
      </c>
      <c r="I60" s="105" t="s">
        <v>157</v>
      </c>
      <c r="J60" s="105" t="s">
        <v>158</v>
      </c>
      <c r="K60" s="105" t="s">
        <v>159</v>
      </c>
      <c r="L60" s="105" t="s">
        <v>160</v>
      </c>
    </row>
    <row r="61" spans="1:12" s="78" customFormat="1" ht="39" customHeight="1" x14ac:dyDescent="0.4">
      <c r="B61" s="71" t="s">
        <v>161</v>
      </c>
      <c r="C61" s="105" t="s">
        <v>162</v>
      </c>
      <c r="D61" s="105" t="s">
        <v>163</v>
      </c>
      <c r="E61" s="105" t="s">
        <v>164</v>
      </c>
      <c r="F61" s="105" t="s">
        <v>165</v>
      </c>
      <c r="H61" s="71" t="s">
        <v>161</v>
      </c>
      <c r="I61" s="105" t="s">
        <v>166</v>
      </c>
      <c r="J61" s="105" t="s">
        <v>167</v>
      </c>
      <c r="K61" s="105" t="s">
        <v>168</v>
      </c>
      <c r="L61" s="105" t="s">
        <v>169</v>
      </c>
    </row>
    <row r="62" spans="1:12" s="78" customFormat="1" ht="39" customHeight="1" x14ac:dyDescent="0.4">
      <c r="B62" s="71" t="s">
        <v>170</v>
      </c>
      <c r="C62" s="105" t="s">
        <v>171</v>
      </c>
      <c r="D62" s="105" t="s">
        <v>172</v>
      </c>
      <c r="E62" s="105" t="s">
        <v>173</v>
      </c>
      <c r="F62" s="105" t="s">
        <v>174</v>
      </c>
      <c r="H62" s="71" t="s">
        <v>170</v>
      </c>
      <c r="I62" s="105" t="s">
        <v>175</v>
      </c>
      <c r="J62" s="105" t="s">
        <v>176</v>
      </c>
      <c r="K62" s="105" t="s">
        <v>177</v>
      </c>
      <c r="L62" s="105" t="s">
        <v>178</v>
      </c>
    </row>
    <row r="63" spans="1:12" s="78" customFormat="1" ht="39" customHeight="1" x14ac:dyDescent="0.4">
      <c r="B63" s="71" t="s">
        <v>179</v>
      </c>
      <c r="C63" s="105" t="s">
        <v>180</v>
      </c>
      <c r="D63" s="105" t="s">
        <v>181</v>
      </c>
      <c r="E63" s="105" t="s">
        <v>182</v>
      </c>
      <c r="F63" s="105" t="s">
        <v>183</v>
      </c>
      <c r="H63" s="71" t="s">
        <v>179</v>
      </c>
      <c r="I63" s="105" t="s">
        <v>184</v>
      </c>
      <c r="J63" s="105" t="s">
        <v>185</v>
      </c>
      <c r="K63" s="105" t="s">
        <v>186</v>
      </c>
      <c r="L63" s="105" t="s">
        <v>187</v>
      </c>
    </row>
    <row r="64" spans="1:12" s="78" customFormat="1" ht="39" customHeight="1" x14ac:dyDescent="0.4">
      <c r="B64" s="71" t="s">
        <v>188</v>
      </c>
      <c r="C64" s="105" t="s">
        <v>189</v>
      </c>
      <c r="D64" s="105" t="s">
        <v>190</v>
      </c>
      <c r="E64" s="105" t="s">
        <v>191</v>
      </c>
      <c r="F64" s="105" t="s">
        <v>192</v>
      </c>
      <c r="H64" s="71" t="s">
        <v>188</v>
      </c>
      <c r="I64" s="105" t="s">
        <v>193</v>
      </c>
      <c r="J64" s="105" t="s">
        <v>194</v>
      </c>
      <c r="K64" s="105" t="s">
        <v>195</v>
      </c>
      <c r="L64" s="105" t="s">
        <v>196</v>
      </c>
    </row>
    <row r="65" spans="2:12" s="78" customFormat="1" ht="39" customHeight="1" x14ac:dyDescent="0.4">
      <c r="B65" s="71" t="s">
        <v>230</v>
      </c>
      <c r="C65" s="105" t="s">
        <v>197</v>
      </c>
      <c r="D65" s="105" t="s">
        <v>198</v>
      </c>
      <c r="E65" s="105" t="s">
        <v>199</v>
      </c>
      <c r="F65" s="105" t="s">
        <v>200</v>
      </c>
      <c r="H65" s="71" t="s">
        <v>230</v>
      </c>
      <c r="I65" s="105" t="s">
        <v>201</v>
      </c>
      <c r="J65" s="105" t="s">
        <v>202</v>
      </c>
      <c r="K65" s="105" t="s">
        <v>203</v>
      </c>
      <c r="L65" s="105" t="s">
        <v>204</v>
      </c>
    </row>
    <row r="66" spans="2:12" s="78" customFormat="1" ht="39" customHeight="1" x14ac:dyDescent="0.4">
      <c r="B66" s="71" t="s">
        <v>205</v>
      </c>
      <c r="C66" s="105" t="s">
        <v>206</v>
      </c>
      <c r="D66" s="105" t="s">
        <v>207</v>
      </c>
      <c r="E66" s="105" t="s">
        <v>208</v>
      </c>
      <c r="F66" s="105" t="s">
        <v>209</v>
      </c>
      <c r="H66" s="71" t="s">
        <v>205</v>
      </c>
      <c r="I66" s="105" t="s">
        <v>210</v>
      </c>
      <c r="J66" s="105" t="s">
        <v>211</v>
      </c>
      <c r="K66" s="105" t="s">
        <v>212</v>
      </c>
      <c r="L66" s="105" t="s">
        <v>213</v>
      </c>
    </row>
    <row r="68" spans="2:12" ht="24" x14ac:dyDescent="0.4">
      <c r="B68" s="78" t="s">
        <v>214</v>
      </c>
    </row>
    <row r="69" spans="2:12" ht="24" x14ac:dyDescent="0.4">
      <c r="B69" s="78" t="s">
        <v>215</v>
      </c>
    </row>
    <row r="70" spans="2:12" ht="24" x14ac:dyDescent="0.4">
      <c r="B70" s="78" t="s">
        <v>216</v>
      </c>
    </row>
    <row r="71" spans="2:12" ht="24" x14ac:dyDescent="0.4">
      <c r="B71" s="78" t="s">
        <v>217</v>
      </c>
    </row>
  </sheetData>
  <sheetProtection algorithmName="SHA-512" hashValue="AJVs4+9vdwb2c+o6civI5n/othwmKPW/gBhO5HZxUUDB5fZKAGLd7NUEPsTlsp1abprov1X4/Hzir35FcJa2iw==" saltValue="nZQEZnx3APszTCTPg5UC0g==" spinCount="100000" sheet="1" objects="1" scenarios="1"/>
  <mergeCells count="6">
    <mergeCell ref="A1:L1"/>
    <mergeCell ref="B53:B54"/>
    <mergeCell ref="C53:F53"/>
    <mergeCell ref="H53:H54"/>
    <mergeCell ref="I53:L53"/>
    <mergeCell ref="C7:D7"/>
  </mergeCells>
  <phoneticPr fontId="2"/>
  <pageMargins left="0.70866141732283472" right="0.35433070866141736" top="0.37" bottom="0.4" header="0.31496062992125984" footer="0.21"/>
  <pageSetup paperSize="9" scale="59" fitToHeight="2" orientation="landscape" r:id="rId1"/>
  <headerFooter>
    <oddFooter>&amp;C&amp;P</oddFooter>
  </headerFooter>
  <rowBreaks count="1" manualBreakCount="1">
    <brk id="46"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
  <sheetViews>
    <sheetView workbookViewId="0">
      <selection sqref="A1:L1"/>
    </sheetView>
  </sheetViews>
  <sheetFormatPr defaultRowHeight="18.75" x14ac:dyDescent="0.4"/>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C2:M24"/>
  <sheetViews>
    <sheetView showGridLines="0" workbookViewId="0">
      <selection sqref="A1:L1"/>
    </sheetView>
  </sheetViews>
  <sheetFormatPr defaultRowHeight="18.75" x14ac:dyDescent="0.4"/>
  <cols>
    <col min="3" max="3" width="25.375" customWidth="1"/>
    <col min="4" max="6" width="19.375" customWidth="1"/>
    <col min="8" max="8" width="11" bestFit="1" customWidth="1"/>
    <col min="12" max="13" width="16.25" bestFit="1" customWidth="1"/>
  </cols>
  <sheetData>
    <row r="2" spans="3:13" ht="19.5" thickBot="1" x14ac:dyDescent="0.45"/>
    <row r="3" spans="3:13" ht="27.75" customHeight="1" thickBot="1" x14ac:dyDescent="0.45">
      <c r="C3" s="148" t="s">
        <v>14</v>
      </c>
      <c r="D3" s="150"/>
      <c r="E3" s="149"/>
      <c r="H3" s="1"/>
      <c r="I3" s="3" t="s">
        <v>36</v>
      </c>
      <c r="J3" s="3" t="s">
        <v>37</v>
      </c>
      <c r="K3" s="3" t="s">
        <v>0</v>
      </c>
      <c r="L3" s="1" t="s">
        <v>74</v>
      </c>
      <c r="M3" s="1" t="s">
        <v>42</v>
      </c>
    </row>
    <row r="4" spans="3:13" ht="27.75" customHeight="1" x14ac:dyDescent="0.4">
      <c r="D4" s="11" t="s">
        <v>15</v>
      </c>
      <c r="E4" s="11" t="s">
        <v>16</v>
      </c>
      <c r="H4" s="1" t="s">
        <v>35</v>
      </c>
      <c r="I4" s="3">
        <v>0</v>
      </c>
      <c r="J4" s="3" t="str">
        <f>IFERROR(IF(AND(ROUNDDOWN(データ入力シート!D59/基礎データ!N7,2)&lt;=0,ROUNDDOWN(((データ入力シート!D59+データ入力シート!E59)/2)/基礎データ!N7,2)&lt;=0)=TRUE,0,"+"),"")</f>
        <v/>
      </c>
      <c r="K4" s="3" t="str">
        <f>IFERROR(IF(ROUNDDOWN(データ入力シート!D57/基礎データ!N7,2)&lt;=0,0,"+"),"")</f>
        <v/>
      </c>
      <c r="L4" s="3" t="str">
        <f>IF((COUNTIF(I4:K4,0)=2),"該当","非該当")</f>
        <v>非該当</v>
      </c>
      <c r="M4" s="3" t="str" cm="1">
        <f t="array" ref="M4">_xlfn.IFS((COUNTIF(I4:K4,0)=3),"該当",(COUNTIF(I4:K4,0)=2),"非該当",(COUNTIF(I4:K4,0)=1),"非該当")</f>
        <v>非該当</v>
      </c>
    </row>
    <row r="5" spans="3:13" ht="27.75" customHeight="1" x14ac:dyDescent="0.4">
      <c r="D5" s="11" t="str">
        <f>IF(AND(データ入力シート!D50&lt;"70人以上",COUNTA(データ入力シート!D50)&gt;=1),"〇","×")</f>
        <v>×</v>
      </c>
      <c r="E5" s="11" t="str">
        <f>IF(データ入力シート!D50&gt;="70人以上","〇","×")</f>
        <v>×</v>
      </c>
      <c r="H5" s="1" t="s">
        <v>38</v>
      </c>
      <c r="I5" s="3">
        <v>0</v>
      </c>
      <c r="J5" s="3" t="str">
        <f>IFERROR(IF(AND(ROUNDDOWN(データ入力シート!E59/基礎データ!N7,2)&lt;=0,ROUNDDOWN(((データ入力シート!E59+データ入力シート!F59)/2)/基礎データ!N7,2)&lt;=0)=TRUE,0,"+"),"")</f>
        <v/>
      </c>
      <c r="K5" s="3" t="str">
        <f>IFERROR(IF(ROUNDDOWN(データ入力シート!E57/基礎データ!N7,2)&lt;=0,0,"+"),"")</f>
        <v/>
      </c>
      <c r="L5" s="3" t="str">
        <f>IF((COUNTIF(I5:K5,0)=2),"該当","非該当")</f>
        <v>非該当</v>
      </c>
      <c r="M5" s="3" t="s">
        <v>8</v>
      </c>
    </row>
    <row r="10" spans="3:13" ht="19.5" thickBot="1" x14ac:dyDescent="0.45"/>
    <row r="11" spans="3:13" ht="27.75" customHeight="1" thickBot="1" x14ac:dyDescent="0.45">
      <c r="C11" s="148" t="str">
        <f>IF(E5="〇","","総資産価額と従業員数による判定")</f>
        <v>総資産価額と従業員数による判定</v>
      </c>
      <c r="D11" s="149"/>
      <c r="L11" s="148" t="str" cm="1">
        <f t="array" ref="L11">_xlfn.IFS(COUNTIF(M4,"該当")=1,"比準要素0",COUNTIF(L4:L5,"該当")=2,"比準要素1",COUNTIF(L4:M5,"該当")&lt;=1,"非該当")</f>
        <v>非該当</v>
      </c>
      <c r="M11" s="149"/>
    </row>
    <row r="12" spans="3:13" ht="27.75" customHeight="1" x14ac:dyDescent="0.4">
      <c r="C12" t="str">
        <f>IF(E5="〇","","①従業員数による規模区分")</f>
        <v>①従業員数による規模区分</v>
      </c>
      <c r="D12" s="17" t="str">
        <f>IF(D5="〇",IF(VLOOKUP(データ入力シート!D50,基礎データ!$H$10:$I$14,2,FALSE)="中会社の大",IF(D13="大会社","大会社","中会社の大"),VLOOKUP(データ入力シート!D50,基礎データ!$H$10:$I$14,2,FALSE)),"")</f>
        <v/>
      </c>
      <c r="F12" t="str">
        <f>IFERROR(IF(E5="〇","",VLOOKUP(D12,基礎データ!$C$14:$D$19,2,FALSE)),"")</f>
        <v/>
      </c>
    </row>
    <row r="13" spans="3:13" ht="27.75" customHeight="1" x14ac:dyDescent="0.4">
      <c r="C13" t="str">
        <f>IF(E5="〇","","②総資産価額による規模区分")</f>
        <v>②総資産価額による規模区分</v>
      </c>
      <c r="D13" s="16" t="str">
        <f>IF(D5="〇",VLOOKUP(データ入力シート!D51,基礎データ!$H$18:$I$23,2,FALSE),"")</f>
        <v/>
      </c>
      <c r="F13" t="str">
        <f>IFERROR(IF(E5="〇","",VLOOKUP(D13,基礎データ!$C$14:$D$19,2,FALSE)),"")</f>
        <v/>
      </c>
    </row>
    <row r="15" spans="3:13" ht="27.75" customHeight="1" x14ac:dyDescent="0.4">
      <c r="C15" t="str">
        <f>IF(E5="〇","","③①②いずれか小さいほう")</f>
        <v>③①②いずれか小さいほう</v>
      </c>
      <c r="D15" s="3" t="str">
        <f>IFERROR(IF(E5="〇","",VLOOKUP(MIN(F12,F13),基礎データ!$B$14:$C$19,2,FALSE)),"")</f>
        <v/>
      </c>
      <c r="F15" t="str">
        <f>IFERROR(IF(E5="〇","",VLOOKUP(D15,基礎データ!$C$14:$D$19,2,FALSE)),"")</f>
        <v/>
      </c>
      <c r="K15" s="53"/>
    </row>
    <row r="16" spans="3:13" ht="19.5" thickBot="1" x14ac:dyDescent="0.45"/>
    <row r="17" spans="3:6" ht="27.75" customHeight="1" thickBot="1" x14ac:dyDescent="0.45">
      <c r="C17" s="148" t="str">
        <f>IF(E5="〇","","取引金額による判定")</f>
        <v>取引金額による判定</v>
      </c>
      <c r="D17" s="149"/>
    </row>
    <row r="18" spans="3:6" ht="27.75" customHeight="1" x14ac:dyDescent="0.4">
      <c r="C18" t="str">
        <f>IF(E5="〇","","④")</f>
        <v>④</v>
      </c>
      <c r="D18" s="15" t="str">
        <f>IF(D5="〇",VLOOKUP(データ入力シート!D52,基礎データ!$H$26:$I$31,2,FALSE),"")</f>
        <v/>
      </c>
      <c r="F18" t="str">
        <f>IFERROR(IF(E5="〇","",VLOOKUP(D18,基礎データ!$C$14:$D$19,2,FALSE)),"")</f>
        <v/>
      </c>
    </row>
    <row r="23" spans="3:6" ht="19.5" thickBot="1" x14ac:dyDescent="0.45"/>
    <row r="24" spans="3:6" ht="27.75" customHeight="1" thickBot="1" x14ac:dyDescent="0.45">
      <c r="C24" t="str">
        <f>IF(E5="〇","会社判定","③④いずれか大きいほう")</f>
        <v>③④いずれか大きいほう</v>
      </c>
      <c r="D24" s="14" t="str">
        <f>IFERROR(IF(E5="〇","－",VLOOKUP(MAX(F15,F18),基礎データ!$B$14:$C$19,2,FALSE)),"－")</f>
        <v>－</v>
      </c>
      <c r="E24" s="14" t="str">
        <f>IF(E5="〇","大会社","－")</f>
        <v>－</v>
      </c>
    </row>
  </sheetData>
  <mergeCells count="4">
    <mergeCell ref="C11:D11"/>
    <mergeCell ref="C3:E3"/>
    <mergeCell ref="C17:D17"/>
    <mergeCell ref="L11:M11"/>
  </mergeCells>
  <phoneticPr fontId="2"/>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6" id="{DD3ABB6E-BA9B-4760-AF9A-A2748EAFC181}">
            <xm:f>AND(データ入力シート!$D$50=0,データ入力シート!$D$51=0)</xm:f>
            <x14:dxf>
              <font>
                <color theme="0"/>
              </font>
              <fill>
                <patternFill>
                  <fgColor theme="0"/>
                  <bgColor theme="0"/>
                </patternFill>
              </fill>
            </x14:dxf>
          </x14:cfRule>
          <xm:sqref>D15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3:P40"/>
  <sheetViews>
    <sheetView showGridLines="0" topLeftCell="A19" zoomScale="85" zoomScaleNormal="85" workbookViewId="0">
      <selection sqref="A1:L1"/>
    </sheetView>
  </sheetViews>
  <sheetFormatPr defaultRowHeight="18.75" x14ac:dyDescent="0.4"/>
  <cols>
    <col min="3" max="3" width="24.625" customWidth="1"/>
    <col min="4" max="4" width="10.375" customWidth="1"/>
    <col min="5" max="5" width="26.625" customWidth="1"/>
    <col min="6" max="6" width="16.625" customWidth="1"/>
    <col min="7" max="7" width="26.625" customWidth="1"/>
    <col min="8" max="8" width="16.625" customWidth="1"/>
    <col min="9" max="9" width="21.875" customWidth="1"/>
    <col min="10" max="10" width="9.5" customWidth="1"/>
    <col min="11" max="11" width="23.875" customWidth="1"/>
    <col min="12" max="12" width="11.5" customWidth="1"/>
    <col min="13" max="13" width="25.125" customWidth="1"/>
  </cols>
  <sheetData>
    <row r="3" spans="2:14" ht="24.75" customHeight="1" x14ac:dyDescent="0.4">
      <c r="B3" s="26" t="s">
        <v>55</v>
      </c>
    </row>
    <row r="4" spans="2:14" ht="24.75" customHeight="1" x14ac:dyDescent="0.4">
      <c r="D4" s="152" t="s">
        <v>1</v>
      </c>
      <c r="E4" s="28" t="s">
        <v>45</v>
      </c>
      <c r="F4" s="151" t="s">
        <v>2</v>
      </c>
      <c r="G4" s="28" t="s">
        <v>46</v>
      </c>
      <c r="H4" s="152" t="s">
        <v>1</v>
      </c>
      <c r="I4" s="36"/>
      <c r="J4" s="153" t="s">
        <v>1</v>
      </c>
      <c r="K4" s="153" t="s">
        <v>23</v>
      </c>
      <c r="L4" s="153" t="s">
        <v>3</v>
      </c>
      <c r="M4" s="36"/>
    </row>
    <row r="5" spans="2:14" ht="24.75" customHeight="1" x14ac:dyDescent="0.4">
      <c r="C5" s="27" t="s">
        <v>49</v>
      </c>
      <c r="D5" s="152"/>
      <c r="E5" s="29" t="s">
        <v>47</v>
      </c>
      <c r="F5" s="151"/>
      <c r="G5" s="30" t="s">
        <v>48</v>
      </c>
      <c r="H5" s="152"/>
      <c r="I5" s="37" t="s">
        <v>5</v>
      </c>
      <c r="J5" s="153"/>
      <c r="K5" s="151"/>
      <c r="L5" s="153"/>
      <c r="M5" s="38" t="s">
        <v>50</v>
      </c>
    </row>
    <row r="6" spans="2:14" ht="24.75" customHeight="1" x14ac:dyDescent="0.4">
      <c r="D6" s="152"/>
      <c r="E6" s="31"/>
      <c r="F6" s="32">
        <v>2</v>
      </c>
      <c r="G6" s="31"/>
      <c r="H6" s="152"/>
      <c r="I6" s="36"/>
      <c r="J6" s="153"/>
      <c r="K6" s="37" t="s">
        <v>22</v>
      </c>
      <c r="L6" s="153"/>
      <c r="M6" s="36"/>
    </row>
    <row r="7" spans="2:14" ht="24.75" customHeight="1" x14ac:dyDescent="0.4">
      <c r="E7" s="33"/>
      <c r="F7" s="33"/>
      <c r="G7" s="33"/>
      <c r="I7" s="36"/>
      <c r="J7" s="36"/>
      <c r="K7" s="36"/>
      <c r="L7" s="36"/>
      <c r="M7" s="36"/>
    </row>
    <row r="8" spans="2:14" ht="24.75" customHeight="1" x14ac:dyDescent="0.4">
      <c r="D8" s="152" t="s">
        <v>1</v>
      </c>
      <c r="E8" s="34" t="str">
        <f>IFERROR(IF(MIN(データ入力シート!D59,(データ入力シート!D59+データ入力シート!E59)/2)/基礎データ!N7&lt;0,0,ROUNDDOWN(MIN(データ入力シート!D59,(データ入力シート!D59+データ入力シート!E59)/2)/基礎データ!N7,0)),"")</f>
        <v/>
      </c>
      <c r="F8" s="151" t="s">
        <v>2</v>
      </c>
      <c r="G8" s="34" t="str">
        <f>IFERROR(IF(データ入力シート!D57/基礎データ!N7&lt;0,0,ROUNDDOWN(データ入力シート!D57/基礎データ!N7,0)),"")</f>
        <v/>
      </c>
      <c r="H8" s="152" t="s">
        <v>1</v>
      </c>
      <c r="I8" s="33"/>
      <c r="J8" s="151" t="s">
        <v>1</v>
      </c>
      <c r="K8" s="37" t="s">
        <v>22</v>
      </c>
      <c r="L8" s="151" t="s">
        <v>3</v>
      </c>
      <c r="M8" s="33"/>
    </row>
    <row r="9" spans="2:14" ht="24.75" customHeight="1" x14ac:dyDescent="0.4">
      <c r="C9" s="40">
        <f>基礎データ!I7</f>
        <v>424</v>
      </c>
      <c r="D9" s="152"/>
      <c r="E9" s="35">
        <f>基礎データ!G7</f>
        <v>44</v>
      </c>
      <c r="F9" s="151"/>
      <c r="G9" s="35">
        <f>基礎データ!H7</f>
        <v>328</v>
      </c>
      <c r="H9" s="152"/>
      <c r="I9" s="37" t="str">
        <f>IFERROR(VLOOKUP(基礎データ!N4,基礎データ!$B$22:$C$27,2,FALSE),"")</f>
        <v/>
      </c>
      <c r="J9" s="151"/>
      <c r="K9" s="33"/>
      <c r="L9" s="151"/>
      <c r="M9" s="39" t="str">
        <f>IFERROR(ROUNDDOWN(C9*(E8/E9+G8/G9)/F10*I9,0),"")</f>
        <v/>
      </c>
      <c r="N9" s="2"/>
    </row>
    <row r="10" spans="2:14" ht="24.75" customHeight="1" x14ac:dyDescent="0.4">
      <c r="D10" s="152"/>
      <c r="E10" s="31"/>
      <c r="F10" s="32">
        <v>2</v>
      </c>
      <c r="G10" s="31"/>
      <c r="H10" s="152"/>
      <c r="I10" s="33"/>
      <c r="J10" s="151"/>
      <c r="K10" s="37" t="s">
        <v>22</v>
      </c>
      <c r="L10" s="151"/>
      <c r="M10" s="33"/>
    </row>
    <row r="13" spans="2:14" ht="19.5" x14ac:dyDescent="0.4">
      <c r="B13" s="33"/>
      <c r="C13" s="33" t="str">
        <f>"類似業種比準価額方式の各要素は、令和"&amp;基礎データ!$H$3&amp;"年"&amp;基礎データ!$I$3&amp;"月"&amp;"時点の公表データを採用しております。"</f>
        <v>類似業種比準価額方式の各要素は、令和5年6月時点の公表データを採用しております。</v>
      </c>
      <c r="D13" s="33"/>
      <c r="E13" s="33"/>
      <c r="F13" s="33"/>
      <c r="G13" s="33"/>
      <c r="H13" s="33"/>
      <c r="I13" s="33"/>
    </row>
    <row r="14" spans="2:14" ht="19.5" x14ac:dyDescent="0.4">
      <c r="B14" s="33"/>
      <c r="C14" s="33"/>
      <c r="D14" s="33"/>
      <c r="E14" s="33"/>
      <c r="F14" s="33"/>
      <c r="G14" s="33"/>
      <c r="H14" s="33"/>
      <c r="I14" s="33"/>
    </row>
    <row r="16" spans="2:14" ht="24.75" customHeight="1" x14ac:dyDescent="0.4">
      <c r="B16" s="26" t="s">
        <v>56</v>
      </c>
    </row>
    <row r="17" spans="2:16" ht="24.75" customHeight="1" x14ac:dyDescent="0.4">
      <c r="B17" s="33"/>
      <c r="C17" s="33"/>
      <c r="D17" s="33"/>
      <c r="E17" s="33"/>
      <c r="F17" s="33"/>
      <c r="G17" s="33"/>
      <c r="H17" s="33"/>
      <c r="I17" s="33"/>
      <c r="J17" s="33"/>
      <c r="K17" s="33"/>
      <c r="L17" s="33"/>
      <c r="M17" s="33"/>
      <c r="N17" s="33"/>
      <c r="O17" s="33"/>
      <c r="P17" s="33"/>
    </row>
    <row r="18" spans="2:16" ht="24.75" customHeight="1" x14ac:dyDescent="0.4">
      <c r="B18" s="33"/>
      <c r="C18" s="37" t="s">
        <v>53</v>
      </c>
      <c r="D18" s="37" t="s">
        <v>24</v>
      </c>
      <c r="E18" s="41" t="s">
        <v>25</v>
      </c>
      <c r="F18" s="37" t="s">
        <v>24</v>
      </c>
      <c r="G18" s="42" t="s">
        <v>26</v>
      </c>
      <c r="H18" s="37" t="s">
        <v>1</v>
      </c>
      <c r="I18" s="43">
        <v>0.37</v>
      </c>
      <c r="J18" s="37" t="s">
        <v>27</v>
      </c>
      <c r="K18" s="37" t="s">
        <v>52</v>
      </c>
      <c r="L18" s="37" t="s">
        <v>3</v>
      </c>
      <c r="M18" s="38" t="s">
        <v>51</v>
      </c>
      <c r="N18" s="33"/>
      <c r="O18" s="33"/>
      <c r="P18" s="33"/>
    </row>
    <row r="19" spans="2:16" ht="24.75" customHeight="1" x14ac:dyDescent="0.4">
      <c r="B19" s="33"/>
      <c r="C19" s="33"/>
      <c r="D19" s="33"/>
      <c r="E19" s="33"/>
      <c r="F19" s="33"/>
      <c r="G19" s="33"/>
      <c r="H19" s="37"/>
      <c r="I19" s="37"/>
      <c r="J19" s="37"/>
      <c r="K19" s="33"/>
      <c r="L19" s="37"/>
      <c r="M19" s="33"/>
      <c r="N19" s="33"/>
      <c r="O19" s="33"/>
      <c r="P19" s="33"/>
    </row>
    <row r="20" spans="2:16" ht="24.75" customHeight="1" x14ac:dyDescent="0.4">
      <c r="B20" s="33"/>
      <c r="C20" s="44" t="str">
        <f>データ入力シート!D58</f>
        <v/>
      </c>
      <c r="D20" s="37" t="s">
        <v>24</v>
      </c>
      <c r="E20" s="45" t="str">
        <f>C20</f>
        <v/>
      </c>
      <c r="F20" s="37" t="s">
        <v>24</v>
      </c>
      <c r="G20" s="46">
        <f>データ入力シート!D57</f>
        <v>0</v>
      </c>
      <c r="H20" s="37" t="s">
        <v>1</v>
      </c>
      <c r="I20" s="43">
        <v>0.37</v>
      </c>
      <c r="J20" s="37" t="s">
        <v>27</v>
      </c>
      <c r="K20" s="47">
        <f>基礎データ!N7</f>
        <v>0</v>
      </c>
      <c r="L20" s="37" t="s">
        <v>3</v>
      </c>
      <c r="M20" s="48" t="str">
        <f>IFERROR(IF(E20-G20&lt;0,0,ROUNDDOWN((C20-((E20-G20)*I20))/K20,0)),"")</f>
        <v/>
      </c>
      <c r="N20" s="33"/>
      <c r="O20" s="33"/>
      <c r="P20" s="33"/>
    </row>
    <row r="21" spans="2:16" ht="24.75" customHeight="1" x14ac:dyDescent="0.4">
      <c r="B21" s="33"/>
      <c r="C21" s="33"/>
      <c r="D21" s="33"/>
      <c r="E21" s="33"/>
      <c r="F21" s="33"/>
      <c r="G21" s="33"/>
      <c r="H21" s="33"/>
      <c r="I21" s="33"/>
      <c r="J21" s="33"/>
      <c r="K21" s="33"/>
      <c r="L21" s="33"/>
      <c r="M21" s="33"/>
      <c r="N21" s="33"/>
      <c r="O21" s="33"/>
      <c r="P21" s="33"/>
    </row>
    <row r="22" spans="2:16" ht="24.75" customHeight="1" x14ac:dyDescent="0.4">
      <c r="B22" s="33"/>
      <c r="C22" s="33"/>
      <c r="D22" s="33"/>
      <c r="E22" s="33"/>
      <c r="F22" s="33"/>
      <c r="G22" s="33"/>
      <c r="H22" s="33"/>
      <c r="I22" s="33"/>
      <c r="J22" s="33"/>
      <c r="K22" s="33"/>
      <c r="L22" s="33"/>
      <c r="M22" s="33"/>
      <c r="N22" s="33"/>
      <c r="O22" s="33"/>
      <c r="P22" s="33"/>
    </row>
    <row r="23" spans="2:16" ht="19.5" x14ac:dyDescent="0.4">
      <c r="B23" s="33"/>
      <c r="C23" s="33"/>
      <c r="D23" s="33"/>
      <c r="E23" s="33"/>
      <c r="F23" s="33"/>
      <c r="G23" s="33"/>
      <c r="H23" s="33"/>
      <c r="I23" s="33"/>
      <c r="J23" s="33"/>
      <c r="K23" s="33"/>
      <c r="L23" s="33"/>
      <c r="M23" s="33"/>
      <c r="N23" s="33"/>
      <c r="O23" s="33"/>
      <c r="P23" s="33"/>
    </row>
    <row r="24" spans="2:16" ht="19.5" x14ac:dyDescent="0.4">
      <c r="B24" s="33"/>
      <c r="C24" s="33" t="s">
        <v>87</v>
      </c>
      <c r="D24" s="33"/>
      <c r="E24" s="33"/>
      <c r="F24" s="33"/>
      <c r="G24" s="33"/>
      <c r="H24" s="33"/>
      <c r="I24" s="33"/>
      <c r="J24" s="33"/>
      <c r="K24" s="33"/>
      <c r="L24" s="33"/>
      <c r="M24" s="33"/>
      <c r="N24" s="33"/>
      <c r="O24" s="33"/>
      <c r="P24" s="33"/>
    </row>
    <row r="25" spans="2:16" ht="19.5" x14ac:dyDescent="0.4">
      <c r="B25" s="33"/>
      <c r="C25" s="33"/>
      <c r="D25" s="33"/>
      <c r="E25" s="33"/>
      <c r="F25" s="33"/>
      <c r="G25" s="33"/>
      <c r="H25" s="33"/>
      <c r="I25" s="33"/>
      <c r="J25" s="33"/>
      <c r="K25" s="33"/>
      <c r="L25" s="33"/>
      <c r="M25" s="33"/>
      <c r="N25" s="33"/>
      <c r="O25" s="33"/>
      <c r="P25" s="33"/>
    </row>
    <row r="26" spans="2:16" ht="19.5" x14ac:dyDescent="0.4">
      <c r="B26" s="33"/>
      <c r="C26" s="33"/>
      <c r="D26" s="33"/>
      <c r="E26" s="33"/>
      <c r="F26" s="33"/>
      <c r="G26" s="33"/>
      <c r="H26" s="33"/>
      <c r="I26" s="33"/>
      <c r="J26" s="33"/>
      <c r="K26" s="33"/>
      <c r="L26" s="33"/>
      <c r="M26" s="33"/>
      <c r="N26" s="33"/>
      <c r="O26" s="33"/>
      <c r="P26" s="33"/>
    </row>
    <row r="27" spans="2:16" ht="19.5" x14ac:dyDescent="0.4">
      <c r="B27" s="33"/>
      <c r="C27" s="33"/>
      <c r="D27" s="33"/>
      <c r="E27" s="33"/>
      <c r="F27" s="33"/>
      <c r="G27" s="33"/>
      <c r="H27" s="33"/>
      <c r="I27" s="33"/>
      <c r="J27" s="33"/>
      <c r="K27" s="33"/>
      <c r="L27" s="33"/>
      <c r="M27" s="33"/>
      <c r="N27" s="33"/>
      <c r="O27" s="33"/>
      <c r="P27" s="33"/>
    </row>
    <row r="28" spans="2:16" ht="19.5" x14ac:dyDescent="0.4">
      <c r="B28" s="33"/>
      <c r="C28" s="33"/>
      <c r="D28" s="33"/>
      <c r="E28" s="33"/>
      <c r="F28" s="33"/>
      <c r="G28" s="33"/>
      <c r="H28" s="33"/>
      <c r="I28" s="33"/>
      <c r="J28" s="33"/>
      <c r="K28" s="33"/>
      <c r="L28" s="33"/>
      <c r="M28" s="33"/>
      <c r="N28" s="33"/>
      <c r="O28" s="33"/>
      <c r="P28" s="33"/>
    </row>
    <row r="29" spans="2:16" ht="19.5" x14ac:dyDescent="0.4">
      <c r="B29" s="33"/>
      <c r="C29" s="33"/>
      <c r="D29" s="33"/>
      <c r="E29" s="33"/>
      <c r="F29" s="33"/>
      <c r="G29" s="33"/>
      <c r="H29" s="33"/>
      <c r="I29" s="33"/>
      <c r="J29" s="33"/>
      <c r="K29" s="33"/>
      <c r="L29" s="33"/>
      <c r="M29" s="33"/>
      <c r="N29" s="33"/>
      <c r="O29" s="33"/>
      <c r="P29" s="33"/>
    </row>
    <row r="30" spans="2:16" ht="35.25" customHeight="1" x14ac:dyDescent="0.4">
      <c r="B30" s="33"/>
      <c r="H30" s="52" t="s">
        <v>21</v>
      </c>
      <c r="I30" s="33"/>
      <c r="J30" s="33"/>
      <c r="K30" s="33"/>
    </row>
    <row r="31" spans="2:16" ht="19.5" x14ac:dyDescent="0.4">
      <c r="B31" s="33"/>
      <c r="H31" s="33"/>
      <c r="I31" s="33"/>
      <c r="J31" s="33"/>
      <c r="K31" s="33"/>
    </row>
    <row r="32" spans="2:16" ht="36" customHeight="1" x14ac:dyDescent="0.4">
      <c r="B32" s="33"/>
      <c r="H32" s="49" t="str" cm="1">
        <f t="array" ref="H32">IFERROR(_xlfn.IFS(基礎データ!C11=1,MIN(評価額!M9,評価額!M20),基礎データ!C11=7,評価額!M20,OR(基礎データ!C11=2,基礎データ!C11=3,基礎データ!C11=4,基礎データ!C11=5,基礎データ!C11=6),評価額!K39),"")</f>
        <v/>
      </c>
      <c r="I32" s="50" t="str" cm="1">
        <f t="array" ref="I32">IFERROR(_xlfn.IFS(基礎データ!C11=1,"※大会社に該当するため低い金額を採用",基礎データ!C11=7,"※比準要素0に該当するため、純資産価額を採用"),"")</f>
        <v/>
      </c>
      <c r="K32" s="33"/>
    </row>
    <row r="33" spans="2:16" ht="19.5" x14ac:dyDescent="0.4">
      <c r="B33" s="33"/>
      <c r="C33" s="33"/>
      <c r="D33" s="33"/>
      <c r="E33" s="33"/>
      <c r="F33" s="33"/>
      <c r="G33" s="33"/>
      <c r="H33" s="33"/>
    </row>
    <row r="34" spans="2:16" ht="19.5" x14ac:dyDescent="0.4">
      <c r="B34" s="33"/>
      <c r="C34" s="33"/>
      <c r="D34" s="33"/>
      <c r="E34" s="33"/>
      <c r="F34" s="33"/>
      <c r="G34" s="33"/>
      <c r="H34" s="33"/>
      <c r="I34" s="33"/>
      <c r="J34" s="33"/>
      <c r="K34" s="33"/>
      <c r="L34" s="33"/>
      <c r="M34" s="33"/>
      <c r="N34" s="33"/>
      <c r="O34" s="33"/>
      <c r="P34" s="33"/>
    </row>
    <row r="35" spans="2:16" ht="19.5" x14ac:dyDescent="0.4">
      <c r="B35" s="33"/>
      <c r="C35" s="33"/>
      <c r="D35" s="33"/>
      <c r="E35" s="33"/>
      <c r="F35" s="33"/>
      <c r="G35" s="33"/>
      <c r="H35" s="33"/>
      <c r="I35" s="33"/>
      <c r="J35" s="33"/>
      <c r="K35" s="33"/>
      <c r="L35" s="33"/>
      <c r="M35" s="33"/>
      <c r="N35" s="33"/>
      <c r="O35" s="33"/>
      <c r="P35" s="33"/>
    </row>
    <row r="36" spans="2:16" ht="19.5" x14ac:dyDescent="0.4">
      <c r="B36" s="26" t="s">
        <v>57</v>
      </c>
      <c r="C36" s="33"/>
      <c r="D36" s="33"/>
      <c r="E36" s="33"/>
      <c r="F36" s="33"/>
      <c r="G36" s="33"/>
      <c r="H36" s="33"/>
      <c r="I36" s="33"/>
      <c r="J36" s="33"/>
      <c r="K36" s="33"/>
      <c r="L36" s="33"/>
      <c r="M36" s="33"/>
      <c r="N36" s="33"/>
      <c r="O36" s="33"/>
      <c r="P36" s="33"/>
    </row>
    <row r="37" spans="2:16" ht="19.5" x14ac:dyDescent="0.4">
      <c r="B37" s="33"/>
      <c r="C37" s="38" t="str">
        <f>IF(OR(基礎データ!C11=1,基礎データ!C11=7),"",M5)</f>
        <v>1口あたりの類似業種比準価額</v>
      </c>
      <c r="D37" s="37" t="str">
        <f>IF(OR(基礎データ!C11=1,基礎データ!C11=7),"","×")</f>
        <v>×</v>
      </c>
      <c r="E37" s="37" t="str">
        <f>IF(OR(基礎データ!C11=1,基礎データ!C11=7),"","Lの割合")</f>
        <v>Lの割合</v>
      </c>
      <c r="F37" s="37" t="str">
        <f>IF(OR(基礎データ!C11=1,基礎データ!C11=7),"","＋")</f>
        <v>＋</v>
      </c>
      <c r="G37" s="37" t="str">
        <f>IF(OR(基礎データ!C11=1,基礎データ!C11=7),"",M18)</f>
        <v>1口あたりの純資産価額</v>
      </c>
      <c r="H37" s="37" t="str">
        <f>IF(OR(基礎データ!C11=1,基礎データ!C11=7),"",D37)</f>
        <v>×</v>
      </c>
      <c r="I37" s="37" t="str">
        <f>IF(OR(基礎データ!C11=1,基礎データ!C11=7),"","1-Lの割合")</f>
        <v>1-Lの割合</v>
      </c>
      <c r="J37" s="37" t="str">
        <f>IF(OR(基礎データ!C11=1,基礎データ!C11=7),"","=")</f>
        <v>=</v>
      </c>
      <c r="K37" s="37" t="str">
        <f>IF(OR(基礎データ!$N$4="大会社",基礎データ!$N$5="比準要素0"),"",評価額!H30)</f>
        <v>1口あたりの評価額</v>
      </c>
      <c r="L37" s="33"/>
      <c r="M37" s="33"/>
      <c r="N37" s="33"/>
      <c r="O37" s="33"/>
      <c r="P37" s="33"/>
    </row>
    <row r="38" spans="2:16" ht="19.5" x14ac:dyDescent="0.4">
      <c r="B38" s="33"/>
      <c r="C38" s="33"/>
      <c r="D38" s="33"/>
      <c r="E38" s="33"/>
      <c r="F38" s="33"/>
      <c r="G38" s="33"/>
      <c r="H38" s="33"/>
      <c r="I38" s="33"/>
      <c r="J38" s="33"/>
      <c r="K38" s="33"/>
      <c r="L38" s="33"/>
      <c r="M38" s="33"/>
      <c r="N38" s="33"/>
      <c r="O38" s="33"/>
      <c r="P38" s="33"/>
    </row>
    <row r="39" spans="2:16" ht="42" customHeight="1" x14ac:dyDescent="0.4">
      <c r="B39" s="33"/>
      <c r="C39" s="39" t="str">
        <f>IF(OR(基礎データ!C11=1,基礎データ!C11=7),"",評価額!M9)</f>
        <v/>
      </c>
      <c r="D39" s="37" t="str">
        <f>IF(OR(基礎データ!C11=1,基礎データ!C11=7),"",D37)</f>
        <v>×</v>
      </c>
      <c r="E39" s="51" t="str">
        <f>IFERROR(IF(OR(基礎データ!C11=1,基礎データ!C11=7),"",VLOOKUP(基礎データ!C11,基礎データ!$B$5:$D$9,3,FALSE)),"")</f>
        <v/>
      </c>
      <c r="F39" s="37" t="str">
        <f>IF(OR(基礎データ!C11=1,基礎データ!C11=7),"",F37)</f>
        <v>＋</v>
      </c>
      <c r="G39" s="48" t="str">
        <f>IF(OR(基礎データ!C11=1,基礎データ!C11=7),"",評価額!M20)</f>
        <v/>
      </c>
      <c r="H39" s="37" t="str">
        <f>IF(OR(基礎データ!C11=1,基礎データ!C11=7),"",H37)</f>
        <v>×</v>
      </c>
      <c r="I39" s="51" t="str">
        <f>IFERROR(IF(OR(基礎データ!C11=1,基礎データ!C11=7),"",1-E39),"")</f>
        <v/>
      </c>
      <c r="J39" s="37" t="str">
        <f>IF(OR(基礎データ!C11=1,基礎データ!C11=7),"",J37)</f>
        <v>=</v>
      </c>
      <c r="K39" s="49" t="str">
        <f>IFERROR(IF(OR(基礎データ!C11=1,基礎データ!C11=7),"",ROUNDDOWN(C39*E39+G39*I39,0)),"")</f>
        <v/>
      </c>
      <c r="L39" s="33"/>
      <c r="M39" s="33"/>
      <c r="N39" s="33"/>
      <c r="O39" s="33"/>
      <c r="P39" s="33"/>
    </row>
    <row r="40" spans="2:16" ht="19.5" x14ac:dyDescent="0.4">
      <c r="B40" s="33"/>
      <c r="C40" s="33"/>
      <c r="D40" s="33"/>
      <c r="E40" s="33"/>
      <c r="F40" s="33"/>
      <c r="G40" s="33"/>
      <c r="H40" s="33"/>
      <c r="I40" s="33"/>
      <c r="J40" s="33"/>
      <c r="K40" s="33"/>
      <c r="L40" s="33"/>
      <c r="M40" s="33"/>
      <c r="N40" s="33"/>
      <c r="O40" s="33"/>
      <c r="P40" s="33"/>
    </row>
  </sheetData>
  <mergeCells count="11">
    <mergeCell ref="F4:F5"/>
    <mergeCell ref="H4:H6"/>
    <mergeCell ref="D4:D6"/>
    <mergeCell ref="L4:L6"/>
    <mergeCell ref="D8:D10"/>
    <mergeCell ref="F8:F9"/>
    <mergeCell ref="H8:H10"/>
    <mergeCell ref="L8:L10"/>
    <mergeCell ref="J4:J6"/>
    <mergeCell ref="J8:J10"/>
    <mergeCell ref="K4:K5"/>
  </mergeCells>
  <phoneticPr fontId="2"/>
  <pageMargins left="0.7" right="0.7" top="0.75" bottom="0.75" header="0.3" footer="0.3"/>
  <pageSetup paperSize="9" orientation="portrait" r:id="rId1"/>
  <ignoredErrors>
    <ignoredError sqref="E39:I3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9504E-57A9-4C30-AD06-A70A59C8B58C}">
  <sheetPr codeName="Sheet10"/>
  <dimension ref="B3:R9"/>
  <sheetViews>
    <sheetView showGridLines="0" zoomScale="85" zoomScaleNormal="85" workbookViewId="0">
      <selection sqref="A1:L1"/>
    </sheetView>
  </sheetViews>
  <sheetFormatPr defaultRowHeight="18.75" x14ac:dyDescent="0.4"/>
  <cols>
    <col min="1" max="1" width="3.875" customWidth="1"/>
    <col min="2" max="2" width="5.125" customWidth="1"/>
    <col min="3" max="3" width="10.375" customWidth="1"/>
    <col min="4" max="4" width="15.125" customWidth="1"/>
    <col min="5" max="5" width="12.5" customWidth="1"/>
    <col min="6" max="7" width="15.125" customWidth="1"/>
    <col min="8" max="8" width="17.25" customWidth="1"/>
    <col min="9" max="9" width="19" customWidth="1"/>
    <col min="10" max="10" width="10.125" customWidth="1"/>
    <col min="11" max="11" width="15.125" customWidth="1"/>
    <col min="12" max="12" width="27.25" customWidth="1"/>
    <col min="15" max="15" width="6.5" customWidth="1"/>
    <col min="16" max="18" width="22.875" customWidth="1"/>
  </cols>
  <sheetData>
    <row r="3" spans="2:18" s="21" customFormat="1" ht="39" customHeight="1" x14ac:dyDescent="0.4">
      <c r="B3" s="6" t="s">
        <v>28</v>
      </c>
      <c r="C3" s="22" t="s">
        <v>18</v>
      </c>
      <c r="D3" s="22" t="s">
        <v>17</v>
      </c>
      <c r="E3" s="22" t="s">
        <v>19</v>
      </c>
      <c r="F3" s="22" t="s">
        <v>66</v>
      </c>
      <c r="G3" s="22" t="s">
        <v>29</v>
      </c>
      <c r="H3" s="22" t="s">
        <v>34</v>
      </c>
      <c r="I3" s="22" t="s">
        <v>76</v>
      </c>
      <c r="J3" s="22" t="s">
        <v>31</v>
      </c>
      <c r="K3" s="22" t="s">
        <v>32</v>
      </c>
      <c r="L3" s="24" t="s">
        <v>77</v>
      </c>
      <c r="O3" s="82" t="s">
        <v>28</v>
      </c>
      <c r="P3" s="83" t="s">
        <v>18</v>
      </c>
      <c r="Q3" s="83" t="s">
        <v>17</v>
      </c>
      <c r="R3" s="83" t="s">
        <v>29</v>
      </c>
    </row>
    <row r="4" spans="2:18" ht="39" customHeight="1" x14ac:dyDescent="0.4">
      <c r="B4" s="18">
        <v>1</v>
      </c>
      <c r="C4" s="69">
        <f>VLOOKUP($B4,データ入力シート!$B$64:$D$70,2,FALSE)</f>
        <v>0</v>
      </c>
      <c r="D4" s="56">
        <f>VLOOKUP($B4,データ入力シート!$B$64:$D$70,3,FALSE)</f>
        <v>0</v>
      </c>
      <c r="E4" s="54">
        <f>ROUNDDOWN(D4/50,0)</f>
        <v>0</v>
      </c>
      <c r="F4" s="19">
        <f>IF(D4=0,0,基礎データ!$N$15)</f>
        <v>0</v>
      </c>
      <c r="G4" s="25">
        <f>IFERROR(E4*F4,0)</f>
        <v>0</v>
      </c>
      <c r="H4" s="25">
        <f t="shared" ref="H4" si="0">IF(D4=0,0,1100000)</f>
        <v>0</v>
      </c>
      <c r="I4" s="25">
        <f>IFERROR(IF(G4-H4&gt;0,G4-H4,0),"")</f>
        <v>0</v>
      </c>
      <c r="J4" s="55">
        <f>IF(I4=0,0,VLOOKUP(I4,基礎データ!$B$30:$D$38,2,TRUE))</f>
        <v>0</v>
      </c>
      <c r="K4" s="25">
        <f>IFERROR(VLOOKUP(I4,基礎データ!$B$30:$D$38,3,TRUE),"")</f>
        <v>0</v>
      </c>
      <c r="L4" s="25">
        <f>IFERROR(ROUNDDOWN(I4*J4,-3)-K4,"")</f>
        <v>0</v>
      </c>
      <c r="M4" s="11"/>
      <c r="O4" s="84">
        <f t="shared" ref="O4:Q9" si="1">B4</f>
        <v>1</v>
      </c>
      <c r="P4" s="85">
        <f t="shared" si="1"/>
        <v>0</v>
      </c>
      <c r="Q4" s="86">
        <f t="shared" si="1"/>
        <v>0</v>
      </c>
      <c r="R4" s="87">
        <f t="shared" ref="R4:R9" si="2">G4</f>
        <v>0</v>
      </c>
    </row>
    <row r="5" spans="2:18" ht="39" customHeight="1" x14ac:dyDescent="0.4">
      <c r="B5" s="18">
        <v>2</v>
      </c>
      <c r="C5" s="69">
        <f>VLOOKUP($B5,データ入力シート!$B$64:$D$70,2,FALSE)</f>
        <v>0</v>
      </c>
      <c r="D5" s="56">
        <f>VLOOKUP($B5,データ入力シート!$B$64:$D$70,3,FALSE)</f>
        <v>0</v>
      </c>
      <c r="E5" s="54">
        <f t="shared" ref="E5:E8" si="3">ROUNDDOWN(D5/50,0)</f>
        <v>0</v>
      </c>
      <c r="F5" s="19">
        <f>IF(D5=0,0,基礎データ!$N$15)</f>
        <v>0</v>
      </c>
      <c r="G5" s="25">
        <f t="shared" ref="G5:G8" si="4">IFERROR(E5*F5,0)</f>
        <v>0</v>
      </c>
      <c r="H5" s="25">
        <f>IF(D5=0,0,1100000)</f>
        <v>0</v>
      </c>
      <c r="I5" s="25">
        <f t="shared" ref="I5:I8" si="5">IFERROR(IF(G5-H5&gt;0,G5-H5,0),"")</f>
        <v>0</v>
      </c>
      <c r="J5" s="55">
        <f>IF(I5=0,0,VLOOKUP(I5,基礎データ!$B$30:$D$38,2,TRUE))</f>
        <v>0</v>
      </c>
      <c r="K5" s="25">
        <f>IFERROR(VLOOKUP(I5,基礎データ!$B$30:$D$38,3,TRUE),"")</f>
        <v>0</v>
      </c>
      <c r="L5" s="25">
        <f t="shared" ref="L5:L8" si="6">IFERROR(ROUNDDOWN(I5*J5,-3)-K5,"")</f>
        <v>0</v>
      </c>
      <c r="M5" s="154" t="s">
        <v>65</v>
      </c>
      <c r="N5" s="152"/>
      <c r="O5" s="84">
        <f t="shared" si="1"/>
        <v>2</v>
      </c>
      <c r="P5" s="85">
        <f t="shared" si="1"/>
        <v>0</v>
      </c>
      <c r="Q5" s="86">
        <f t="shared" si="1"/>
        <v>0</v>
      </c>
      <c r="R5" s="87">
        <f t="shared" si="2"/>
        <v>0</v>
      </c>
    </row>
    <row r="6" spans="2:18" ht="39" customHeight="1" x14ac:dyDescent="0.4">
      <c r="B6" s="18">
        <v>3</v>
      </c>
      <c r="C6" s="69">
        <f>VLOOKUP($B6,データ入力シート!$B$64:$D$70,2,FALSE)</f>
        <v>0</v>
      </c>
      <c r="D6" s="56">
        <f>VLOOKUP($B6,データ入力シート!$B$64:$D$70,3,FALSE)</f>
        <v>0</v>
      </c>
      <c r="E6" s="54">
        <f t="shared" si="3"/>
        <v>0</v>
      </c>
      <c r="F6" s="19">
        <f>IF(D6=0,0,基礎データ!$N$15)</f>
        <v>0</v>
      </c>
      <c r="G6" s="25">
        <f t="shared" si="4"/>
        <v>0</v>
      </c>
      <c r="H6" s="25">
        <f t="shared" ref="H6:H8" si="7">IF(D6=0,0,1100000)</f>
        <v>0</v>
      </c>
      <c r="I6" s="25">
        <f t="shared" si="5"/>
        <v>0</v>
      </c>
      <c r="J6" s="55">
        <f>IF(I6=0,0,VLOOKUP(I6,基礎データ!$B$30:$D$38,2,TRUE))</f>
        <v>0</v>
      </c>
      <c r="K6" s="25">
        <f>IFERROR(VLOOKUP(I6,基礎データ!$B$30:$D$38,3,TRUE),"")</f>
        <v>0</v>
      </c>
      <c r="L6" s="25">
        <f t="shared" si="6"/>
        <v>0</v>
      </c>
      <c r="O6" s="84">
        <f t="shared" si="1"/>
        <v>3</v>
      </c>
      <c r="P6" s="85">
        <f t="shared" si="1"/>
        <v>0</v>
      </c>
      <c r="Q6" s="86">
        <f t="shared" si="1"/>
        <v>0</v>
      </c>
      <c r="R6" s="87">
        <f t="shared" si="2"/>
        <v>0</v>
      </c>
    </row>
    <row r="7" spans="2:18" ht="39" customHeight="1" x14ac:dyDescent="0.4">
      <c r="B7" s="18">
        <v>4</v>
      </c>
      <c r="C7" s="69">
        <f>VLOOKUP($B7,データ入力シート!$B$64:$D$70,2,FALSE)</f>
        <v>0</v>
      </c>
      <c r="D7" s="56">
        <f>VLOOKUP($B7,データ入力シート!$B$64:$D$70,3,FALSE)</f>
        <v>0</v>
      </c>
      <c r="E7" s="54">
        <f t="shared" si="3"/>
        <v>0</v>
      </c>
      <c r="F7" s="19">
        <f>IF(D7=0,0,基礎データ!$N$15)</f>
        <v>0</v>
      </c>
      <c r="G7" s="25">
        <f t="shared" si="4"/>
        <v>0</v>
      </c>
      <c r="H7" s="25">
        <f t="shared" si="7"/>
        <v>0</v>
      </c>
      <c r="I7" s="25">
        <f t="shared" si="5"/>
        <v>0</v>
      </c>
      <c r="J7" s="55">
        <f>IF(I7=0,0,VLOOKUP(I7,基礎データ!$B$30:$D$38,2,TRUE))</f>
        <v>0</v>
      </c>
      <c r="K7" s="25">
        <f>IFERROR(VLOOKUP(I7,基礎データ!$B$30:$D$38,3,TRUE),"")</f>
        <v>0</v>
      </c>
      <c r="L7" s="25">
        <f t="shared" si="6"/>
        <v>0</v>
      </c>
      <c r="O7" s="84">
        <f t="shared" si="1"/>
        <v>4</v>
      </c>
      <c r="P7" s="85">
        <f t="shared" si="1"/>
        <v>0</v>
      </c>
      <c r="Q7" s="86">
        <f t="shared" si="1"/>
        <v>0</v>
      </c>
      <c r="R7" s="87">
        <f t="shared" si="2"/>
        <v>0</v>
      </c>
    </row>
    <row r="8" spans="2:18" ht="39" customHeight="1" x14ac:dyDescent="0.4">
      <c r="B8" s="18">
        <v>5</v>
      </c>
      <c r="C8" s="69">
        <f>VLOOKUP($B8,データ入力シート!$B$64:$D$70,2,FALSE)</f>
        <v>0</v>
      </c>
      <c r="D8" s="56">
        <f>VLOOKUP($B8,データ入力シート!$B$64:$D$70,3,FALSE)</f>
        <v>0</v>
      </c>
      <c r="E8" s="54">
        <f t="shared" si="3"/>
        <v>0</v>
      </c>
      <c r="F8" s="19">
        <f>IF(D8=0,0,基礎データ!$N$15)</f>
        <v>0</v>
      </c>
      <c r="G8" s="25">
        <f t="shared" si="4"/>
        <v>0</v>
      </c>
      <c r="H8" s="25">
        <f t="shared" si="7"/>
        <v>0</v>
      </c>
      <c r="I8" s="25">
        <f t="shared" si="5"/>
        <v>0</v>
      </c>
      <c r="J8" s="55">
        <f>IF(I8=0,0,VLOOKUP(I8,基礎データ!$B$30:$D$38,2,TRUE))</f>
        <v>0</v>
      </c>
      <c r="K8" s="25">
        <f>IFERROR(VLOOKUP(I8,基礎データ!$B$30:$D$38,3,TRUE),"")</f>
        <v>0</v>
      </c>
      <c r="L8" s="25">
        <f t="shared" si="6"/>
        <v>0</v>
      </c>
      <c r="O8" s="84">
        <f t="shared" si="1"/>
        <v>5</v>
      </c>
      <c r="P8" s="85">
        <f t="shared" si="1"/>
        <v>0</v>
      </c>
      <c r="Q8" s="86">
        <f t="shared" si="1"/>
        <v>0</v>
      </c>
      <c r="R8" s="87">
        <f t="shared" si="2"/>
        <v>0</v>
      </c>
    </row>
    <row r="9" spans="2:18" ht="39" customHeight="1" x14ac:dyDescent="0.4">
      <c r="B9" s="62" t="s">
        <v>78</v>
      </c>
      <c r="C9" s="20" t="s">
        <v>8</v>
      </c>
      <c r="D9" s="63" t="str">
        <f>IF(SUM(D4:D8)=0,"",SUM(D4:D8))</f>
        <v/>
      </c>
      <c r="E9" s="64" t="str">
        <f>IF(SUM(E4:E8)=0,"",SUM(E4:E8))</f>
        <v/>
      </c>
      <c r="F9" s="20" t="s">
        <v>8</v>
      </c>
      <c r="G9" s="65" t="str">
        <f>IF(SUM(G4:G8)=0,"",SUM(G4:G8))</f>
        <v/>
      </c>
      <c r="H9" s="20" t="s">
        <v>8</v>
      </c>
      <c r="I9" s="65" t="str">
        <f>IF(SUM(I4:I8)=0,"",SUM(I4:I8))</f>
        <v/>
      </c>
      <c r="J9" s="20" t="s">
        <v>8</v>
      </c>
      <c r="K9" s="65" t="str">
        <f>IF(SUM(K4:K8)=0,"",SUM(K4:K8))</f>
        <v/>
      </c>
      <c r="L9" s="66" t="str">
        <f>IF(SUM(L4:L8)=0,"",SUM(L4:L8))</f>
        <v/>
      </c>
      <c r="O9" s="88" t="str">
        <f t="shared" si="1"/>
        <v>計</v>
      </c>
      <c r="P9" s="89" t="str">
        <f t="shared" si="1"/>
        <v>－</v>
      </c>
      <c r="Q9" s="90" t="str">
        <f t="shared" si="1"/>
        <v/>
      </c>
      <c r="R9" s="91" t="str">
        <f t="shared" si="2"/>
        <v/>
      </c>
    </row>
  </sheetData>
  <mergeCells count="1">
    <mergeCell ref="M5:N5"/>
  </mergeCells>
  <phoneticPr fontId="2"/>
  <conditionalFormatting sqref="C4:L8">
    <cfRule type="cellIs" dxfId="1" priority="3" operator="equal">
      <formula>0</formula>
    </cfRule>
  </conditionalFormatting>
  <conditionalFormatting sqref="P4:R8">
    <cfRule type="cellIs" dxfId="0" priority="4" operator="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CC24C-23E9-4B94-85F8-7030EA35037B}">
  <sheetPr codeName="Sheet11"/>
  <dimension ref="A1"/>
  <sheetViews>
    <sheetView workbookViewId="0">
      <selection sqref="A1:L1"/>
    </sheetView>
  </sheetViews>
  <sheetFormatPr defaultRowHeight="18.75" x14ac:dyDescent="0.4"/>
  <sheetData/>
  <phoneticPr fontId="2"/>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B2:P47"/>
  <sheetViews>
    <sheetView showGridLines="0" view="pageBreakPreview" zoomScale="85" zoomScaleNormal="70" zoomScaleSheetLayoutView="85" workbookViewId="0">
      <selection sqref="A1:L1"/>
    </sheetView>
  </sheetViews>
  <sheetFormatPr defaultRowHeight="18.75" x14ac:dyDescent="0.4"/>
  <cols>
    <col min="1" max="1" width="3.125" customWidth="1"/>
    <col min="2" max="2" width="16.625" customWidth="1"/>
    <col min="3" max="4" width="18" customWidth="1"/>
    <col min="5" max="5" width="3.125" customWidth="1"/>
    <col min="6" max="6" width="8.125" customWidth="1"/>
    <col min="7" max="7" width="14.875" customWidth="1"/>
    <col min="8" max="9" width="19.5" customWidth="1"/>
    <col min="10" max="10" width="11.875" customWidth="1"/>
    <col min="12" max="12" width="3.5" customWidth="1"/>
    <col min="13" max="13" width="48.75" customWidth="1"/>
    <col min="14" max="14" width="16.375" customWidth="1"/>
    <col min="15" max="15" width="3.125" customWidth="1"/>
    <col min="16" max="16" width="8.75" customWidth="1"/>
    <col min="17" max="17" width="2.375" customWidth="1"/>
  </cols>
  <sheetData>
    <row r="2" spans="2:16" ht="19.5" thickBot="1" x14ac:dyDescent="0.45">
      <c r="B2" t="s">
        <v>58</v>
      </c>
      <c r="G2" t="s">
        <v>248</v>
      </c>
    </row>
    <row r="3" spans="2:16" ht="29.25" customHeight="1" thickTop="1" thickBot="1" x14ac:dyDescent="0.45">
      <c r="B3" s="9" t="s">
        <v>13</v>
      </c>
      <c r="C3" s="5" t="s">
        <v>12</v>
      </c>
      <c r="D3" s="6" t="s">
        <v>7</v>
      </c>
      <c r="G3" s="59" t="s">
        <v>73</v>
      </c>
      <c r="H3" s="111">
        <v>5</v>
      </c>
      <c r="I3" s="107">
        <v>6</v>
      </c>
      <c r="J3" s="61" t="s">
        <v>85</v>
      </c>
      <c r="M3" s="95" t="s">
        <v>92</v>
      </c>
      <c r="N3" s="71" t="s">
        <v>72</v>
      </c>
      <c r="P3" s="112" t="str">
        <f>IFERROR(N9,"")</f>
        <v/>
      </c>
    </row>
    <row r="4" spans="2:16" ht="21" thickTop="1" thickBot="1" x14ac:dyDescent="0.45">
      <c r="B4" s="1">
        <v>1</v>
      </c>
      <c r="C4" s="3" t="s">
        <v>4</v>
      </c>
      <c r="D4" s="10">
        <v>1</v>
      </c>
      <c r="E4">
        <v>1</v>
      </c>
      <c r="M4" s="96" t="s">
        <v>12</v>
      </c>
      <c r="N4" s="51" t="str">
        <f>IF(会社判定!D24="－",会社判定!E24,会社判定!D24)</f>
        <v>－</v>
      </c>
      <c r="P4">
        <v>4</v>
      </c>
    </row>
    <row r="5" spans="2:16" ht="20.25" thickTop="1" x14ac:dyDescent="0.4">
      <c r="B5" s="1">
        <v>2</v>
      </c>
      <c r="C5" s="3" t="s">
        <v>9</v>
      </c>
      <c r="D5" s="1">
        <v>0.9</v>
      </c>
      <c r="E5">
        <v>2</v>
      </c>
      <c r="G5" s="157" t="s">
        <v>54</v>
      </c>
      <c r="H5" s="155" t="s">
        <v>247</v>
      </c>
      <c r="I5" s="159" t="str">
        <f>"令和"&amp;H3-1&amp;"年平均"</f>
        <v>令和4年平均</v>
      </c>
      <c r="M5" s="96" t="s">
        <v>67</v>
      </c>
      <c r="N5" s="51" t="str">
        <f>会社判定!L11</f>
        <v>非該当</v>
      </c>
      <c r="O5" s="60"/>
      <c r="P5">
        <v>5</v>
      </c>
    </row>
    <row r="6" spans="2:16" ht="19.5" x14ac:dyDescent="0.4">
      <c r="B6" s="1">
        <v>3</v>
      </c>
      <c r="C6" s="3" t="s">
        <v>10</v>
      </c>
      <c r="D6" s="1">
        <v>0.75</v>
      </c>
      <c r="E6">
        <v>3</v>
      </c>
      <c r="G6" s="158"/>
      <c r="H6" s="156"/>
      <c r="I6" s="160"/>
      <c r="M6" s="96" t="s">
        <v>68</v>
      </c>
      <c r="N6" s="92">
        <f>データ入力シート!D70</f>
        <v>0</v>
      </c>
      <c r="P6">
        <v>6</v>
      </c>
    </row>
    <row r="7" spans="2:16" ht="20.25" thickBot="1" x14ac:dyDescent="0.45">
      <c r="B7" s="1">
        <v>4</v>
      </c>
      <c r="C7" s="3" t="s">
        <v>11</v>
      </c>
      <c r="D7" s="1">
        <v>0.6</v>
      </c>
      <c r="E7">
        <v>4</v>
      </c>
      <c r="G7" s="108">
        <v>44</v>
      </c>
      <c r="H7" s="109">
        <v>328</v>
      </c>
      <c r="I7" s="110">
        <v>424</v>
      </c>
      <c r="J7" s="61" t="s">
        <v>85</v>
      </c>
      <c r="M7" s="96" t="s">
        <v>88</v>
      </c>
      <c r="N7" s="93">
        <f>ROUNDDOWN(N6/50,0)</f>
        <v>0</v>
      </c>
      <c r="P7">
        <v>7</v>
      </c>
    </row>
    <row r="8" spans="2:16" ht="20.25" thickTop="1" x14ac:dyDescent="0.4">
      <c r="B8" s="1">
        <v>5</v>
      </c>
      <c r="C8" s="3" t="s">
        <v>6</v>
      </c>
      <c r="D8" s="1">
        <v>0.5</v>
      </c>
      <c r="E8">
        <v>5</v>
      </c>
      <c r="M8" s="96" t="s">
        <v>69</v>
      </c>
      <c r="N8" s="92" t="str">
        <f>IFERROR(基礎データ!N7*基礎データ!N15,"")</f>
        <v/>
      </c>
      <c r="P8">
        <v>8</v>
      </c>
    </row>
    <row r="9" spans="2:16" ht="19.5" x14ac:dyDescent="0.4">
      <c r="B9" s="1">
        <v>6</v>
      </c>
      <c r="C9" s="3" t="s">
        <v>44</v>
      </c>
      <c r="D9" s="1">
        <v>0.25</v>
      </c>
      <c r="E9">
        <v>6</v>
      </c>
      <c r="H9" t="s">
        <v>64</v>
      </c>
      <c r="M9" s="96" t="s">
        <v>238</v>
      </c>
      <c r="N9" s="92" t="str">
        <f>医贈与税!L9</f>
        <v/>
      </c>
      <c r="P9">
        <v>9</v>
      </c>
    </row>
    <row r="10" spans="2:16" ht="19.5" x14ac:dyDescent="0.4">
      <c r="B10" s="1">
        <v>7</v>
      </c>
      <c r="C10" s="3" t="s">
        <v>43</v>
      </c>
      <c r="D10" s="1">
        <v>0</v>
      </c>
      <c r="E10">
        <v>7</v>
      </c>
      <c r="H10" s="5" t="s">
        <v>79</v>
      </c>
      <c r="I10" s="5" t="s">
        <v>12</v>
      </c>
      <c r="M10" s="96" t="s">
        <v>86</v>
      </c>
      <c r="N10" s="94" t="str">
        <f>IFERROR(評価額!M9,"")</f>
        <v/>
      </c>
      <c r="P10">
        <v>10</v>
      </c>
    </row>
    <row r="11" spans="2:16" ht="18" customHeight="1" x14ac:dyDescent="0.4">
      <c r="B11" s="58" t="s">
        <v>75</v>
      </c>
      <c r="C11" t="str">
        <f>IFERROR(VLOOKUP(IF(基礎データ!N5="非該当",基礎データ!N4,基礎データ!N5),$C$3:$E$10,3,FALSE),"")</f>
        <v/>
      </c>
      <c r="H11" s="3" t="s">
        <v>236</v>
      </c>
      <c r="I11" s="3" t="s">
        <v>6</v>
      </c>
      <c r="M11" s="96" t="s">
        <v>89</v>
      </c>
      <c r="N11" s="94">
        <f>基礎データ!G7</f>
        <v>44</v>
      </c>
    </row>
    <row r="12" spans="2:16" ht="18" customHeight="1" x14ac:dyDescent="0.4">
      <c r="H12" s="3" t="s">
        <v>237</v>
      </c>
      <c r="I12" s="3" t="s">
        <v>11</v>
      </c>
      <c r="M12" s="96" t="s">
        <v>90</v>
      </c>
      <c r="N12" s="94">
        <f>基礎データ!H7</f>
        <v>328</v>
      </c>
    </row>
    <row r="13" spans="2:16" ht="19.5" x14ac:dyDescent="0.4">
      <c r="B13" s="11" t="s">
        <v>61</v>
      </c>
      <c r="H13" s="3" t="s">
        <v>80</v>
      </c>
      <c r="I13" s="3" t="s">
        <v>10</v>
      </c>
      <c r="M13" s="96" t="str">
        <f>"　　"&amp;"類似業種の"&amp;I5&amp;"株価"</f>
        <v>　　類似業種の令和4年平均株価</v>
      </c>
      <c r="N13" s="94">
        <f>基礎データ!I7</f>
        <v>424</v>
      </c>
    </row>
    <row r="14" spans="2:16" ht="19.5" x14ac:dyDescent="0.4">
      <c r="B14" s="9" t="s">
        <v>13</v>
      </c>
      <c r="C14" s="5" t="s">
        <v>12</v>
      </c>
      <c r="D14" s="9" t="s">
        <v>13</v>
      </c>
      <c r="H14" s="3" t="s">
        <v>81</v>
      </c>
      <c r="I14" s="3" t="s">
        <v>9</v>
      </c>
      <c r="M14" s="96" t="s">
        <v>70</v>
      </c>
      <c r="N14" s="94" t="str">
        <f>IFERROR(評価額!M20,"")</f>
        <v/>
      </c>
    </row>
    <row r="15" spans="2:16" ht="19.5" x14ac:dyDescent="0.4">
      <c r="B15" s="8">
        <v>1</v>
      </c>
      <c r="C15" s="3" t="s">
        <v>6</v>
      </c>
      <c r="D15" s="8">
        <v>1</v>
      </c>
      <c r="H15" s="3" t="s">
        <v>16</v>
      </c>
      <c r="I15" s="3" t="s">
        <v>4</v>
      </c>
      <c r="M15" s="96" t="s">
        <v>71</v>
      </c>
      <c r="N15" s="94" t="str">
        <f>IFERROR(評価額!H32,"")</f>
        <v/>
      </c>
    </row>
    <row r="16" spans="2:16" x14ac:dyDescent="0.4">
      <c r="B16" s="8">
        <v>2</v>
      </c>
      <c r="C16" s="3" t="s">
        <v>11</v>
      </c>
      <c r="D16" s="8">
        <v>2</v>
      </c>
    </row>
    <row r="17" spans="2:9" x14ac:dyDescent="0.4">
      <c r="B17" s="8">
        <v>3</v>
      </c>
      <c r="C17" s="3" t="s">
        <v>10</v>
      </c>
      <c r="D17" s="8">
        <v>3</v>
      </c>
      <c r="H17" s="7" t="s">
        <v>63</v>
      </c>
    </row>
    <row r="18" spans="2:9" x14ac:dyDescent="0.4">
      <c r="B18" s="8">
        <v>4</v>
      </c>
      <c r="C18" s="3" t="s">
        <v>9</v>
      </c>
      <c r="D18" s="8">
        <v>4</v>
      </c>
      <c r="H18" s="5" t="s">
        <v>79</v>
      </c>
      <c r="I18" s="5" t="s">
        <v>12</v>
      </c>
    </row>
    <row r="19" spans="2:9" x14ac:dyDescent="0.4">
      <c r="B19" s="8">
        <v>5</v>
      </c>
      <c r="C19" s="3" t="s">
        <v>4</v>
      </c>
      <c r="D19" s="8">
        <v>5</v>
      </c>
      <c r="H19" s="18" t="s">
        <v>220</v>
      </c>
      <c r="I19" s="3" t="s">
        <v>6</v>
      </c>
    </row>
    <row r="20" spans="2:9" x14ac:dyDescent="0.4">
      <c r="H20" s="18" t="s">
        <v>221</v>
      </c>
      <c r="I20" s="3" t="s">
        <v>11</v>
      </c>
    </row>
    <row r="21" spans="2:9" x14ac:dyDescent="0.4">
      <c r="B21" t="s">
        <v>60</v>
      </c>
      <c r="H21" s="18" t="s">
        <v>222</v>
      </c>
      <c r="I21" s="3" t="s">
        <v>10</v>
      </c>
    </row>
    <row r="22" spans="2:9" x14ac:dyDescent="0.4">
      <c r="B22" s="4"/>
      <c r="C22" s="6" t="s">
        <v>5</v>
      </c>
      <c r="H22" s="18" t="s">
        <v>223</v>
      </c>
      <c r="I22" s="3" t="s">
        <v>9</v>
      </c>
    </row>
    <row r="23" spans="2:9" x14ac:dyDescent="0.4">
      <c r="B23" s="3" t="s">
        <v>6</v>
      </c>
      <c r="C23" s="1">
        <v>0.5</v>
      </c>
      <c r="H23" s="18" t="s">
        <v>82</v>
      </c>
      <c r="I23" s="3" t="s">
        <v>4</v>
      </c>
    </row>
    <row r="24" spans="2:9" x14ac:dyDescent="0.4">
      <c r="B24" s="3" t="s">
        <v>11</v>
      </c>
      <c r="C24" s="1">
        <v>0.6</v>
      </c>
      <c r="I24" s="67"/>
    </row>
    <row r="25" spans="2:9" x14ac:dyDescent="0.4">
      <c r="B25" s="3" t="s">
        <v>10</v>
      </c>
      <c r="C25" s="1">
        <v>0.6</v>
      </c>
      <c r="H25" t="s">
        <v>59</v>
      </c>
    </row>
    <row r="26" spans="2:9" x14ac:dyDescent="0.4">
      <c r="B26" s="3" t="s">
        <v>9</v>
      </c>
      <c r="C26" s="1">
        <v>0.6</v>
      </c>
      <c r="H26" s="5" t="s">
        <v>79</v>
      </c>
      <c r="I26" s="5" t="s">
        <v>12</v>
      </c>
    </row>
    <row r="27" spans="2:9" x14ac:dyDescent="0.4">
      <c r="B27" s="3" t="s">
        <v>4</v>
      </c>
      <c r="C27" s="10">
        <v>0.7</v>
      </c>
      <c r="H27" s="18" t="s">
        <v>224</v>
      </c>
      <c r="I27" s="3" t="s">
        <v>6</v>
      </c>
    </row>
    <row r="28" spans="2:9" x14ac:dyDescent="0.4">
      <c r="H28" s="18" t="s">
        <v>225</v>
      </c>
      <c r="I28" s="3" t="s">
        <v>11</v>
      </c>
    </row>
    <row r="29" spans="2:9" x14ac:dyDescent="0.4">
      <c r="B29" t="s">
        <v>62</v>
      </c>
      <c r="H29" s="18" t="s">
        <v>222</v>
      </c>
      <c r="I29" s="3" t="s">
        <v>10</v>
      </c>
    </row>
    <row r="30" spans="2:9" x14ac:dyDescent="0.4">
      <c r="B30" s="13" t="s">
        <v>33</v>
      </c>
      <c r="C30" s="5" t="s">
        <v>31</v>
      </c>
      <c r="D30" s="4" t="s">
        <v>32</v>
      </c>
      <c r="H30" s="18" t="s">
        <v>226</v>
      </c>
      <c r="I30" s="3" t="s">
        <v>9</v>
      </c>
    </row>
    <row r="31" spans="2:9" x14ac:dyDescent="0.4">
      <c r="B31" s="8">
        <v>0</v>
      </c>
      <c r="C31" s="12">
        <v>0.1</v>
      </c>
      <c r="D31" s="8">
        <v>0</v>
      </c>
      <c r="H31" s="18" t="s">
        <v>227</v>
      </c>
      <c r="I31" s="3" t="s">
        <v>4</v>
      </c>
    </row>
    <row r="32" spans="2:9" x14ac:dyDescent="0.4">
      <c r="B32" s="8">
        <v>2000000</v>
      </c>
      <c r="C32" s="12">
        <v>0.15</v>
      </c>
      <c r="D32" s="8">
        <v>100000</v>
      </c>
    </row>
    <row r="33" spans="2:4" x14ac:dyDescent="0.4">
      <c r="B33" s="8">
        <v>3000000</v>
      </c>
      <c r="C33" s="12">
        <v>0.2</v>
      </c>
      <c r="D33" s="8">
        <v>250000</v>
      </c>
    </row>
    <row r="34" spans="2:4" x14ac:dyDescent="0.4">
      <c r="B34" s="8">
        <v>4000000</v>
      </c>
      <c r="C34" s="12">
        <v>0.3</v>
      </c>
      <c r="D34" s="8">
        <v>650000</v>
      </c>
    </row>
    <row r="35" spans="2:4" x14ac:dyDescent="0.4">
      <c r="B35" s="8">
        <v>6000000</v>
      </c>
      <c r="C35" s="12">
        <v>0.4</v>
      </c>
      <c r="D35" s="8">
        <v>1250000</v>
      </c>
    </row>
    <row r="36" spans="2:4" x14ac:dyDescent="0.4">
      <c r="B36" s="8">
        <v>10000000</v>
      </c>
      <c r="C36" s="12">
        <v>0.45</v>
      </c>
      <c r="D36" s="8">
        <v>1750000</v>
      </c>
    </row>
    <row r="37" spans="2:4" x14ac:dyDescent="0.4">
      <c r="B37" s="8">
        <v>15000000</v>
      </c>
      <c r="C37" s="12">
        <v>0.5</v>
      </c>
      <c r="D37" s="8">
        <v>2500000</v>
      </c>
    </row>
    <row r="38" spans="2:4" x14ac:dyDescent="0.4">
      <c r="B38" s="8">
        <v>30000000</v>
      </c>
      <c r="C38" s="12">
        <v>0.55000000000000004</v>
      </c>
      <c r="D38" s="8">
        <v>4000000</v>
      </c>
    </row>
    <row r="47" spans="2:4" x14ac:dyDescent="0.4">
      <c r="D47" s="11"/>
    </row>
  </sheetData>
  <mergeCells count="3">
    <mergeCell ref="H5:H6"/>
    <mergeCell ref="G5:G6"/>
    <mergeCell ref="I5:I6"/>
  </mergeCells>
  <phoneticPr fontId="2"/>
  <dataValidations count="2">
    <dataValidation operator="equal" allowBlank="1" showInputMessage="1" showErrorMessage="1" sqref="I3" xr:uid="{D60FE63B-5D5F-46B8-90AE-3246AB8AE46E}"/>
    <dataValidation type="list" allowBlank="1" showInputMessage="1" showErrorMessage="1" sqref="H3" xr:uid="{CD2CA157-B61A-48BC-A696-9499C468FDB0}">
      <formula1>$P$4:$P$10</formula1>
    </dataValidation>
  </dataValidations>
  <pageMargins left="0.7" right="0.7" top="0.75" bottom="0.75" header="0.3" footer="0.3"/>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データ入力シート</vt:lpstr>
      <vt:lpstr>概算結果</vt:lpstr>
      <vt:lpstr>⇒計算シート</vt:lpstr>
      <vt:lpstr>会社判定</vt:lpstr>
      <vt:lpstr>評価額</vt:lpstr>
      <vt:lpstr>医贈与税</vt:lpstr>
      <vt:lpstr>⇒要更新</vt:lpstr>
      <vt:lpstr>基礎データ</vt:lpstr>
      <vt:lpstr>データ入力シート!Print_Area</vt:lpstr>
      <vt:lpstr>概算結果!Print_Area</vt:lpstr>
      <vt:lpstr>基礎データ!Print_Area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JAHMC事務局 白木悠太</cp:lastModifiedBy>
  <cp:lastPrinted>2023-03-16T04:57:45Z</cp:lastPrinted>
  <dcterms:created xsi:type="dcterms:W3CDTF">2021-10-13T01:30:07Z</dcterms:created>
  <dcterms:modified xsi:type="dcterms:W3CDTF">2023-09-21T00:54:19Z</dcterms:modified>
</cp:coreProperties>
</file>